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2585" yWindow="45" windowWidth="12630" windowHeight="12345"/>
  </bookViews>
  <sheets>
    <sheet name="1. Information Sheet" sheetId="15" r:id="rId1"/>
    <sheet name="2. 2013 Continuity Schedule" sheetId="2" r:id="rId2"/>
    <sheet name="3. Appendix A" sheetId="11" r:id="rId3"/>
    <sheet name="4. Billing Determinants" sheetId="12" r:id="rId4"/>
    <sheet name="5. Allocation of Balances" sheetId="13" r:id="rId5"/>
    <sheet name="6. Rate Rider Calculations" sheetId="14" r:id="rId6"/>
  </sheets>
  <externalReferences>
    <externalReference r:id="rId7"/>
    <externalReference r:id="rId8"/>
    <externalReference r:id="rId9"/>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1">'2. 2013 Continuity Schedule'!$A$1:$CR$90</definedName>
    <definedName name="_xlnm.Print_Area" localSheetId="2">'3. Appendix A'!$B$1:$F$69</definedName>
    <definedName name="_xlnm.Print_Area" localSheetId="4">'5. Allocation of Balances'!$B$1:$K$56</definedName>
    <definedName name="_xlnm.Print_Area" localSheetId="5">'6. Rate Rider Calculations'!$A$1:$I$96</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iterate="1"/>
</workbook>
</file>

<file path=xl/calcChain.xml><?xml version="1.0" encoding="utf-8"?>
<calcChain xmlns="http://schemas.openxmlformats.org/spreadsheetml/2006/main">
  <c r="CC83" i="2" l="1"/>
  <c r="CN72" i="2" l="1"/>
  <c r="CC67" i="2" l="1"/>
  <c r="CO67" i="2"/>
  <c r="CN67" i="2"/>
  <c r="CH67" i="2"/>
  <c r="BX67" i="2"/>
  <c r="BN67" i="2"/>
  <c r="BD67" i="2"/>
  <c r="CC87" i="2" l="1"/>
  <c r="CH33" i="2" l="1"/>
  <c r="BU29" i="2"/>
  <c r="BP29" i="2"/>
  <c r="BU28" i="2"/>
  <c r="BP28" i="2"/>
  <c r="BU27" i="2"/>
  <c r="BP27" i="2"/>
  <c r="BY26" i="2"/>
  <c r="BU26" i="2"/>
  <c r="BP26" i="2"/>
  <c r="CG25" i="2"/>
  <c r="BY25" i="2"/>
  <c r="BU25" i="2"/>
  <c r="BP25" i="2"/>
  <c r="BU24" i="2"/>
  <c r="BP24" i="2"/>
  <c r="CJ25" i="2" l="1"/>
  <c r="CK25" i="2"/>
  <c r="CO72" i="2" l="1"/>
  <c r="CF88" i="2" l="1"/>
  <c r="BX88" i="2"/>
  <c r="CO44" i="2"/>
  <c r="CN44" i="2"/>
  <c r="CF34" i="2"/>
  <c r="BX34" i="2"/>
  <c r="BS34" i="2"/>
  <c r="BN34" i="2"/>
  <c r="BU33" i="2"/>
  <c r="CF33" i="2"/>
  <c r="BP33" i="2"/>
  <c r="CQ29" i="2"/>
  <c r="CQ28" i="2"/>
  <c r="CQ27" i="2"/>
  <c r="CQ26" i="2"/>
  <c r="CQ25" i="2"/>
  <c r="CQ34" i="2"/>
  <c r="CQ88" i="2"/>
  <c r="CQ33" i="2"/>
  <c r="CF25" i="2"/>
  <c r="BX25" i="2"/>
  <c r="BX24" i="2"/>
  <c r="Y55" i="13" l="1"/>
  <c r="X55" i="13"/>
  <c r="W55" i="13"/>
  <c r="V55" i="13"/>
  <c r="U55" i="13"/>
  <c r="T55" i="13"/>
  <c r="S55" i="13"/>
  <c r="R55" i="13"/>
  <c r="Q55" i="13"/>
  <c r="P55" i="13"/>
  <c r="O55" i="13"/>
  <c r="N55" i="13"/>
  <c r="M55" i="13"/>
  <c r="L55" i="13"/>
  <c r="Y54" i="13"/>
  <c r="X54" i="13"/>
  <c r="W54" i="13"/>
  <c r="V54" i="13"/>
  <c r="U54" i="13"/>
  <c r="T54" i="13"/>
  <c r="S54" i="13"/>
  <c r="R54" i="13"/>
  <c r="Q54" i="13"/>
  <c r="P54" i="13"/>
  <c r="O54" i="13"/>
  <c r="N54" i="13"/>
  <c r="M54" i="13"/>
  <c r="L54" i="13"/>
  <c r="Y43" i="13"/>
  <c r="X43" i="13"/>
  <c r="W43" i="13"/>
  <c r="V43" i="13"/>
  <c r="U43" i="13"/>
  <c r="T43" i="13"/>
  <c r="S43" i="13"/>
  <c r="R43" i="13"/>
  <c r="Q43" i="13"/>
  <c r="P43" i="13"/>
  <c r="O43" i="13"/>
  <c r="N43" i="13"/>
  <c r="M43" i="13"/>
  <c r="L43" i="13"/>
  <c r="Y42" i="13"/>
  <c r="X42" i="13"/>
  <c r="W42" i="13"/>
  <c r="V42" i="13"/>
  <c r="U42" i="13"/>
  <c r="T42" i="13"/>
  <c r="S42" i="13"/>
  <c r="R42" i="13"/>
  <c r="Q42" i="13"/>
  <c r="P42" i="13"/>
  <c r="O42" i="13"/>
  <c r="N42" i="13"/>
  <c r="M42" i="13"/>
  <c r="L42" i="13"/>
  <c r="Y41" i="13"/>
  <c r="X41" i="13"/>
  <c r="W41" i="13"/>
  <c r="V41" i="13"/>
  <c r="U41" i="13"/>
  <c r="T41" i="13"/>
  <c r="S41" i="13"/>
  <c r="R41" i="13"/>
  <c r="Q41" i="13"/>
  <c r="P41" i="13"/>
  <c r="O41" i="13"/>
  <c r="N41" i="13"/>
  <c r="M41" i="13"/>
  <c r="L41" i="13"/>
  <c r="Y38" i="13"/>
  <c r="X38" i="13"/>
  <c r="W38" i="13"/>
  <c r="V38" i="13"/>
  <c r="U38" i="13"/>
  <c r="T38" i="13"/>
  <c r="S38" i="13"/>
  <c r="R38" i="13"/>
  <c r="Q38" i="13"/>
  <c r="P38" i="13"/>
  <c r="O38" i="13"/>
  <c r="N38" i="13"/>
  <c r="M38" i="13"/>
  <c r="L38" i="13"/>
  <c r="Y37" i="13"/>
  <c r="X37" i="13"/>
  <c r="W37" i="13"/>
  <c r="V37" i="13"/>
  <c r="U37" i="13"/>
  <c r="T37" i="13"/>
  <c r="S37" i="13"/>
  <c r="R37" i="13"/>
  <c r="Q37" i="13"/>
  <c r="P37" i="13"/>
  <c r="O37" i="13"/>
  <c r="N37" i="13"/>
  <c r="M37" i="13"/>
  <c r="L37" i="13"/>
  <c r="Y36" i="13"/>
  <c r="X36" i="13"/>
  <c r="W36" i="13"/>
  <c r="V36" i="13"/>
  <c r="U36" i="13"/>
  <c r="T36" i="13"/>
  <c r="S36" i="13"/>
  <c r="R36" i="13"/>
  <c r="Q36" i="13"/>
  <c r="P36" i="13"/>
  <c r="O36" i="13"/>
  <c r="N36" i="13"/>
  <c r="M36" i="13"/>
  <c r="L36" i="13"/>
  <c r="Y35" i="13"/>
  <c r="X35" i="13"/>
  <c r="W35" i="13"/>
  <c r="V35" i="13"/>
  <c r="U35" i="13"/>
  <c r="T35" i="13"/>
  <c r="S35" i="13"/>
  <c r="R35" i="13"/>
  <c r="Q35" i="13"/>
  <c r="P35" i="13"/>
  <c r="O35" i="13"/>
  <c r="N35" i="13"/>
  <c r="M35" i="13"/>
  <c r="L35" i="13"/>
  <c r="Y34" i="13"/>
  <c r="X34" i="13"/>
  <c r="W34" i="13"/>
  <c r="V34" i="13"/>
  <c r="U34" i="13"/>
  <c r="T34" i="13"/>
  <c r="S34" i="13"/>
  <c r="R34" i="13"/>
  <c r="Q34" i="13"/>
  <c r="P34" i="13"/>
  <c r="O34" i="13"/>
  <c r="N34" i="13"/>
  <c r="M34" i="13"/>
  <c r="L34" i="13"/>
  <c r="Y33" i="13"/>
  <c r="X33" i="13"/>
  <c r="W33" i="13"/>
  <c r="V33" i="13"/>
  <c r="U33" i="13"/>
  <c r="T33" i="13"/>
  <c r="S33" i="13"/>
  <c r="R33" i="13"/>
  <c r="Q33" i="13"/>
  <c r="P33" i="13"/>
  <c r="O33" i="13"/>
  <c r="N33" i="13"/>
  <c r="M33" i="13"/>
  <c r="L33" i="13"/>
  <c r="Y32" i="13"/>
  <c r="X32" i="13"/>
  <c r="W32" i="13"/>
  <c r="V32" i="13"/>
  <c r="U32" i="13"/>
  <c r="T32" i="13"/>
  <c r="S32" i="13"/>
  <c r="R32" i="13"/>
  <c r="Q32" i="13"/>
  <c r="P32" i="13"/>
  <c r="O32" i="13"/>
  <c r="N32" i="13"/>
  <c r="M32" i="13"/>
  <c r="L32" i="13"/>
  <c r="Y31" i="13"/>
  <c r="X31" i="13"/>
  <c r="W31" i="13"/>
  <c r="V31" i="13"/>
  <c r="U31" i="13"/>
  <c r="T31" i="13"/>
  <c r="S31" i="13"/>
  <c r="R31" i="13"/>
  <c r="Q31" i="13"/>
  <c r="P31" i="13"/>
  <c r="O31" i="13"/>
  <c r="N31" i="13"/>
  <c r="M31" i="13"/>
  <c r="L31" i="13"/>
  <c r="Y30" i="13"/>
  <c r="X30" i="13"/>
  <c r="W30" i="13"/>
  <c r="V30" i="13"/>
  <c r="U30" i="13"/>
  <c r="T30" i="13"/>
  <c r="S30" i="13"/>
  <c r="R30" i="13"/>
  <c r="Q30" i="13"/>
  <c r="P30" i="13"/>
  <c r="O30" i="13"/>
  <c r="N30" i="13"/>
  <c r="M30" i="13"/>
  <c r="L30" i="13"/>
  <c r="Y29" i="13"/>
  <c r="X29" i="13"/>
  <c r="W29" i="13"/>
  <c r="V29" i="13"/>
  <c r="U29" i="13"/>
  <c r="T29" i="13"/>
  <c r="S29" i="13"/>
  <c r="R29" i="13"/>
  <c r="Q29" i="13"/>
  <c r="P29" i="13"/>
  <c r="O29" i="13"/>
  <c r="N29" i="13"/>
  <c r="M29" i="13"/>
  <c r="L29" i="13"/>
  <c r="Y28" i="13"/>
  <c r="X28" i="13"/>
  <c r="W28" i="13"/>
  <c r="V28" i="13"/>
  <c r="U28" i="13"/>
  <c r="T28" i="13"/>
  <c r="S28" i="13"/>
  <c r="R28" i="13"/>
  <c r="Q28" i="13"/>
  <c r="P28" i="13"/>
  <c r="O28" i="13"/>
  <c r="N28" i="13"/>
  <c r="M28" i="13"/>
  <c r="L28" i="13"/>
  <c r="Y27" i="13"/>
  <c r="X27" i="13"/>
  <c r="W27" i="13"/>
  <c r="V27" i="13"/>
  <c r="U27" i="13"/>
  <c r="T27" i="13"/>
  <c r="S27" i="13"/>
  <c r="R27" i="13"/>
  <c r="Q27" i="13"/>
  <c r="P27" i="13"/>
  <c r="O27" i="13"/>
  <c r="N27" i="13"/>
  <c r="M27" i="13"/>
  <c r="L27" i="13"/>
  <c r="Y26" i="13"/>
  <c r="X26" i="13"/>
  <c r="W26" i="13"/>
  <c r="V26" i="13"/>
  <c r="U26" i="13"/>
  <c r="T26" i="13"/>
  <c r="S26" i="13"/>
  <c r="R26" i="13"/>
  <c r="Q26" i="13"/>
  <c r="P26" i="13"/>
  <c r="O26" i="13"/>
  <c r="N26" i="13"/>
  <c r="M26" i="13"/>
  <c r="L26" i="13"/>
  <c r="Y25" i="13"/>
  <c r="X25" i="13"/>
  <c r="W25" i="13"/>
  <c r="V25" i="13"/>
  <c r="U25" i="13"/>
  <c r="T25" i="13"/>
  <c r="S25" i="13"/>
  <c r="R25" i="13"/>
  <c r="Q25" i="13"/>
  <c r="P25" i="13"/>
  <c r="O25" i="13"/>
  <c r="N25" i="13"/>
  <c r="M25" i="13"/>
  <c r="L25" i="13"/>
  <c r="Y24" i="13"/>
  <c r="X24" i="13"/>
  <c r="W24" i="13"/>
  <c r="V24" i="13"/>
  <c r="U24" i="13"/>
  <c r="T24" i="13"/>
  <c r="S24" i="13"/>
  <c r="R24" i="13"/>
  <c r="Q24" i="13"/>
  <c r="P24" i="13"/>
  <c r="O24" i="13"/>
  <c r="N24" i="13"/>
  <c r="M24" i="13"/>
  <c r="L24" i="13"/>
  <c r="Y23" i="13"/>
  <c r="X23" i="13"/>
  <c r="W23" i="13"/>
  <c r="V23" i="13"/>
  <c r="U23" i="13"/>
  <c r="T23" i="13"/>
  <c r="S23" i="13"/>
  <c r="R23" i="13"/>
  <c r="Q23" i="13"/>
  <c r="P23" i="13"/>
  <c r="O23" i="13"/>
  <c r="N23" i="13"/>
  <c r="M23" i="13"/>
  <c r="L23" i="13"/>
  <c r="Y22" i="13"/>
  <c r="X22" i="13"/>
  <c r="W22" i="13"/>
  <c r="V22" i="13"/>
  <c r="U22" i="13"/>
  <c r="T22" i="13"/>
  <c r="S22" i="13"/>
  <c r="R22" i="13"/>
  <c r="Q22" i="13"/>
  <c r="P22" i="13"/>
  <c r="O22" i="13"/>
  <c r="N22" i="13"/>
  <c r="M22" i="13"/>
  <c r="L22" i="13"/>
  <c r="Y21" i="13"/>
  <c r="X21" i="13"/>
  <c r="W21" i="13"/>
  <c r="V21" i="13"/>
  <c r="U21" i="13"/>
  <c r="T21" i="13"/>
  <c r="S21" i="13"/>
  <c r="R21" i="13"/>
  <c r="Q21" i="13"/>
  <c r="P21" i="13"/>
  <c r="O21" i="13"/>
  <c r="N21" i="13"/>
  <c r="M21" i="13"/>
  <c r="L21" i="13"/>
  <c r="Y20" i="13"/>
  <c r="X20" i="13"/>
  <c r="W20" i="13"/>
  <c r="V20" i="13"/>
  <c r="U20" i="13"/>
  <c r="T20" i="13"/>
  <c r="S20" i="13"/>
  <c r="R20" i="13"/>
  <c r="Q20" i="13"/>
  <c r="P20" i="13"/>
  <c r="O20" i="13"/>
  <c r="N20" i="13"/>
  <c r="M20" i="13"/>
  <c r="L20" i="13"/>
  <c r="Y19" i="13"/>
  <c r="X19" i="13"/>
  <c r="W19" i="13"/>
  <c r="V19" i="13"/>
  <c r="U19" i="13"/>
  <c r="T19" i="13"/>
  <c r="S19" i="13"/>
  <c r="R19" i="13"/>
  <c r="Q19" i="13"/>
  <c r="P19" i="13"/>
  <c r="O19" i="13"/>
  <c r="N19" i="13"/>
  <c r="M19" i="13"/>
  <c r="L19" i="13"/>
  <c r="Y18" i="13"/>
  <c r="X18" i="13"/>
  <c r="W18" i="13"/>
  <c r="V18" i="13"/>
  <c r="U18" i="13"/>
  <c r="T18" i="13"/>
  <c r="S18" i="13"/>
  <c r="R18" i="13"/>
  <c r="Q18" i="13"/>
  <c r="P18" i="13"/>
  <c r="O18" i="13"/>
  <c r="N18" i="13"/>
  <c r="M18" i="13"/>
  <c r="L18" i="13"/>
  <c r="Y15" i="13"/>
  <c r="X15" i="13"/>
  <c r="W15" i="13"/>
  <c r="V15" i="13"/>
  <c r="U15" i="13"/>
  <c r="T15" i="13"/>
  <c r="S15" i="13"/>
  <c r="R15" i="13"/>
  <c r="Q15" i="13"/>
  <c r="P15" i="13"/>
  <c r="O15" i="13"/>
  <c r="N15" i="13"/>
  <c r="M15" i="13"/>
  <c r="L15" i="13"/>
  <c r="Y14" i="13"/>
  <c r="X14" i="13"/>
  <c r="W14" i="13"/>
  <c r="V14" i="13"/>
  <c r="U14" i="13"/>
  <c r="T14" i="13"/>
  <c r="S14" i="13"/>
  <c r="R14" i="13"/>
  <c r="Q14" i="13"/>
  <c r="P14" i="13"/>
  <c r="O14" i="13"/>
  <c r="N14" i="13"/>
  <c r="M14" i="13"/>
  <c r="L14" i="13"/>
  <c r="Y13" i="13"/>
  <c r="X13" i="13"/>
  <c r="W13" i="13"/>
  <c r="V13" i="13"/>
  <c r="U13" i="13"/>
  <c r="T13" i="13"/>
  <c r="S13" i="13"/>
  <c r="R13" i="13"/>
  <c r="Q13" i="13"/>
  <c r="P13" i="13"/>
  <c r="O13" i="13"/>
  <c r="N13" i="13"/>
  <c r="M13" i="13"/>
  <c r="L13" i="13"/>
  <c r="Y12" i="13"/>
  <c r="X12" i="13"/>
  <c r="W12" i="13"/>
  <c r="V12" i="13"/>
  <c r="U12" i="13"/>
  <c r="T12" i="13"/>
  <c r="S12" i="13"/>
  <c r="R12" i="13"/>
  <c r="Q12" i="13"/>
  <c r="P12" i="13"/>
  <c r="O12" i="13"/>
  <c r="N12" i="13"/>
  <c r="M12" i="13"/>
  <c r="L12" i="13"/>
  <c r="Y11" i="13"/>
  <c r="X11" i="13"/>
  <c r="W11" i="13"/>
  <c r="V11" i="13"/>
  <c r="U11" i="13"/>
  <c r="T11" i="13"/>
  <c r="S11" i="13"/>
  <c r="R11" i="13"/>
  <c r="Q11" i="13"/>
  <c r="P11" i="13"/>
  <c r="O11" i="13"/>
  <c r="N11" i="13"/>
  <c r="M11" i="13"/>
  <c r="L11" i="13"/>
  <c r="Y10" i="13"/>
  <c r="X10" i="13"/>
  <c r="W10" i="13"/>
  <c r="V10" i="13"/>
  <c r="U10" i="13"/>
  <c r="T10" i="13"/>
  <c r="S10" i="13"/>
  <c r="R10" i="13"/>
  <c r="Q10" i="13"/>
  <c r="P10" i="13"/>
  <c r="O10" i="13"/>
  <c r="N10" i="13"/>
  <c r="M10" i="13"/>
  <c r="L10" i="13"/>
  <c r="Y9" i="13"/>
  <c r="X9" i="13"/>
  <c r="W9" i="13"/>
  <c r="V9" i="13"/>
  <c r="U9" i="13"/>
  <c r="T9" i="13"/>
  <c r="S9" i="13"/>
  <c r="R9" i="13"/>
  <c r="Q9" i="13"/>
  <c r="P9" i="13"/>
  <c r="O9" i="13"/>
  <c r="N9" i="13"/>
  <c r="M9" i="13"/>
  <c r="L9" i="13"/>
  <c r="Y8" i="13"/>
  <c r="X8" i="13"/>
  <c r="W8" i="13"/>
  <c r="V8" i="13"/>
  <c r="U8" i="13"/>
  <c r="T8" i="13"/>
  <c r="S8" i="13"/>
  <c r="R8" i="13"/>
  <c r="Q8" i="13"/>
  <c r="P8" i="13"/>
  <c r="O8" i="13"/>
  <c r="N8" i="13"/>
  <c r="M8" i="13"/>
  <c r="L8" i="13"/>
  <c r="Y7" i="13"/>
  <c r="X7" i="13"/>
  <c r="W7" i="13"/>
  <c r="V7" i="13"/>
  <c r="U7" i="13"/>
  <c r="T7" i="13"/>
  <c r="S7" i="13"/>
  <c r="R7" i="13"/>
  <c r="Q7" i="13"/>
  <c r="P7" i="13"/>
  <c r="O7" i="13"/>
  <c r="N7" i="13"/>
  <c r="M7" i="13"/>
  <c r="L7" i="13"/>
  <c r="Y6" i="13"/>
  <c r="X6" i="13"/>
  <c r="W6" i="13"/>
  <c r="V6" i="13"/>
  <c r="U6" i="13"/>
  <c r="T6" i="13"/>
  <c r="S6" i="13"/>
  <c r="R6" i="13"/>
  <c r="Q6" i="13"/>
  <c r="P6" i="13"/>
  <c r="O6" i="13"/>
  <c r="N6" i="13"/>
  <c r="M6" i="13"/>
  <c r="L6" i="13"/>
  <c r="Y5" i="13"/>
  <c r="X5" i="13"/>
  <c r="W5" i="13"/>
  <c r="V5" i="13"/>
  <c r="U5" i="13"/>
  <c r="T5" i="13"/>
  <c r="S5" i="13"/>
  <c r="R5" i="13"/>
  <c r="Q5" i="13"/>
  <c r="P5" i="13"/>
  <c r="O5" i="13"/>
  <c r="N5" i="13"/>
  <c r="M5" i="13"/>
  <c r="L5" i="13"/>
  <c r="D76" i="14" l="1"/>
  <c r="D77" i="14"/>
  <c r="D78" i="14"/>
  <c r="D79" i="14"/>
  <c r="D80" i="14"/>
  <c r="D81" i="14"/>
  <c r="D82" i="14"/>
  <c r="D83" i="14"/>
  <c r="D84" i="14"/>
  <c r="D85" i="14"/>
  <c r="D86" i="14"/>
  <c r="D87" i="14"/>
  <c r="D88" i="14"/>
  <c r="D89" i="14"/>
  <c r="D90" i="14"/>
  <c r="D91" i="14"/>
  <c r="D92" i="14"/>
  <c r="D93" i="14"/>
  <c r="D94" i="14"/>
  <c r="D75" i="14"/>
  <c r="C94" i="14"/>
  <c r="C93" i="14"/>
  <c r="C92" i="14"/>
  <c r="C91" i="14"/>
  <c r="C90" i="14"/>
  <c r="C89" i="14"/>
  <c r="C88" i="14"/>
  <c r="C87" i="14"/>
  <c r="C86" i="14"/>
  <c r="C85" i="14"/>
  <c r="C83" i="14"/>
  <c r="C82" i="14"/>
  <c r="F36" i="2" l="1"/>
  <c r="G36" i="2"/>
  <c r="H36" i="2"/>
  <c r="J36" i="2"/>
  <c r="K36" i="2"/>
  <c r="L36" i="2"/>
  <c r="M36" i="2"/>
  <c r="P36" i="2"/>
  <c r="Q36" i="2"/>
  <c r="R36" i="2"/>
  <c r="U36" i="2"/>
  <c r="V36" i="2"/>
  <c r="W36" i="2"/>
  <c r="Z36" i="2"/>
  <c r="AA36" i="2"/>
  <c r="AB36" i="2"/>
  <c r="AE36" i="2"/>
  <c r="AF36" i="2"/>
  <c r="AG36" i="2"/>
  <c r="AJ36" i="2"/>
  <c r="AK36" i="2"/>
  <c r="AL36" i="2"/>
  <c r="AO36" i="2"/>
  <c r="AP36" i="2"/>
  <c r="AQ36" i="2"/>
  <c r="AT36" i="2"/>
  <c r="AU36" i="2"/>
  <c r="AV36" i="2"/>
  <c r="AY36" i="2"/>
  <c r="AZ36" i="2"/>
  <c r="BA36" i="2"/>
  <c r="BD36" i="2"/>
  <c r="BE36" i="2"/>
  <c r="BF36" i="2"/>
  <c r="BI36" i="2"/>
  <c r="BJ36" i="2"/>
  <c r="BK36" i="2"/>
  <c r="BN36" i="2"/>
  <c r="BO36" i="2"/>
  <c r="BP36" i="2"/>
  <c r="BS36" i="2"/>
  <c r="BT36" i="2"/>
  <c r="BU36" i="2"/>
  <c r="BX36" i="2"/>
  <c r="BY36" i="2"/>
  <c r="BZ36" i="2"/>
  <c r="CA36" i="2"/>
  <c r="CB36" i="2"/>
  <c r="CC36" i="2"/>
  <c r="CF36" i="2"/>
  <c r="CF37" i="2" s="1"/>
  <c r="CG36" i="2"/>
  <c r="CH36" i="2"/>
  <c r="CH69" i="2" s="1"/>
  <c r="CH75" i="2" s="1"/>
  <c r="CJ36" i="2"/>
  <c r="CK36" i="2"/>
  <c r="CQ36" i="2"/>
  <c r="E36" i="2"/>
  <c r="CE83" i="2"/>
  <c r="CI83" i="2" s="1"/>
  <c r="CM83" i="2" s="1"/>
  <c r="CH63" i="2"/>
  <c r="CG63" i="2"/>
  <c r="CF63" i="2"/>
  <c r="CC63" i="2"/>
  <c r="CB63" i="2"/>
  <c r="CA63" i="2"/>
  <c r="BZ63" i="2"/>
  <c r="BZ69" i="2" s="1"/>
  <c r="BZ75" i="2" s="1"/>
  <c r="BY63" i="2"/>
  <c r="BX63" i="2"/>
  <c r="CH38" i="2"/>
  <c r="CG38" i="2"/>
  <c r="CF38" i="2"/>
  <c r="CC38" i="2"/>
  <c r="CB38" i="2"/>
  <c r="CA38" i="2"/>
  <c r="CA37" i="2" s="1"/>
  <c r="BZ38" i="2"/>
  <c r="BY38" i="2"/>
  <c r="BX38" i="2"/>
  <c r="N34" i="2"/>
  <c r="T34" i="2" s="1"/>
  <c r="X34" i="2" s="1"/>
  <c r="AD34" i="2" s="1"/>
  <c r="AH34" i="2" s="1"/>
  <c r="AN34" i="2" s="1"/>
  <c r="AR34" i="2" s="1"/>
  <c r="AX34" i="2" s="1"/>
  <c r="BB34" i="2" s="1"/>
  <c r="BH34" i="2" s="1"/>
  <c r="BL34" i="2" s="1"/>
  <c r="BR34" i="2" s="1"/>
  <c r="BV34" i="2" s="1"/>
  <c r="CE34" i="2" s="1"/>
  <c r="CI34" i="2" s="1"/>
  <c r="CM34" i="2" s="1"/>
  <c r="I34" i="2"/>
  <c r="O34" i="2" s="1"/>
  <c r="S34" i="2" s="1"/>
  <c r="Y34" i="2" s="1"/>
  <c r="AC34" i="2" s="1"/>
  <c r="AI34" i="2" s="1"/>
  <c r="AM34" i="2" s="1"/>
  <c r="AS34" i="2" s="1"/>
  <c r="AW34" i="2" s="1"/>
  <c r="BC34" i="2" s="1"/>
  <c r="BG34" i="2" s="1"/>
  <c r="BM34" i="2" s="1"/>
  <c r="BQ34" i="2" s="1"/>
  <c r="BX37" i="2" l="1"/>
  <c r="CG37" i="2"/>
  <c r="CG69" i="2"/>
  <c r="CG75" i="2" s="1"/>
  <c r="BX69" i="2"/>
  <c r="BX75" i="2" s="1"/>
  <c r="CB69" i="2"/>
  <c r="CB75" i="2" s="1"/>
  <c r="CH37" i="2"/>
  <c r="BZ37" i="2"/>
  <c r="BW34" i="2"/>
  <c r="CD34" i="2" s="1"/>
  <c r="CD83" i="2"/>
  <c r="CB37" i="2"/>
  <c r="BY37" i="2"/>
  <c r="CC37" i="2"/>
  <c r="BY69" i="2"/>
  <c r="BY75" i="2" s="1"/>
  <c r="CC69" i="2"/>
  <c r="CC75" i="2" s="1"/>
  <c r="CF69" i="2"/>
  <c r="CF75" i="2" s="1"/>
  <c r="CA69" i="2"/>
  <c r="CA75" i="2" s="1"/>
  <c r="G48" i="14"/>
  <c r="G49" i="14"/>
  <c r="G50" i="14"/>
  <c r="G51" i="14"/>
  <c r="G52" i="14"/>
  <c r="G53" i="14"/>
  <c r="G20" i="14"/>
  <c r="G47" i="14"/>
  <c r="D48" i="14"/>
  <c r="D52" i="14"/>
  <c r="D53" i="14"/>
  <c r="D47" i="14"/>
  <c r="D20" i="14"/>
  <c r="C66" i="14"/>
  <c r="G66" i="14" s="1"/>
  <c r="C65" i="14"/>
  <c r="D65" i="14" s="1"/>
  <c r="C64" i="14"/>
  <c r="G64" i="14" s="1"/>
  <c r="C63" i="14"/>
  <c r="D63" i="14" s="1"/>
  <c r="G62" i="14"/>
  <c r="C61" i="14"/>
  <c r="D61" i="14" s="1"/>
  <c r="C60" i="14"/>
  <c r="G60" i="14" s="1"/>
  <c r="C59" i="14"/>
  <c r="D59" i="14" s="1"/>
  <c r="G58" i="14"/>
  <c r="C57" i="14"/>
  <c r="D57" i="14" s="1"/>
  <c r="G56" i="14"/>
  <c r="C55" i="14"/>
  <c r="D55" i="14" s="1"/>
  <c r="C54" i="14"/>
  <c r="G54" i="14" s="1"/>
  <c r="CL83" i="2" l="1"/>
  <c r="CP83" i="2" s="1"/>
  <c r="D55" i="13" s="1"/>
  <c r="CR83" i="2"/>
  <c r="E66" i="11" s="1"/>
  <c r="CL34" i="2"/>
  <c r="CR34" i="2"/>
  <c r="E34" i="11" s="1"/>
  <c r="D64" i="14"/>
  <c r="D62" i="14"/>
  <c r="D60" i="14"/>
  <c r="D58" i="14"/>
  <c r="D56" i="14"/>
  <c r="D54" i="14"/>
  <c r="G65" i="14"/>
  <c r="G63" i="14"/>
  <c r="G61" i="14"/>
  <c r="G59" i="14"/>
  <c r="G57" i="14"/>
  <c r="G55" i="14"/>
  <c r="D66" i="14"/>
  <c r="CO34" i="2" l="1"/>
  <c r="CN34" i="2"/>
  <c r="C23" i="14"/>
  <c r="C25" i="14"/>
  <c r="C26" i="14"/>
  <c r="C27" i="14"/>
  <c r="C28" i="14"/>
  <c r="C29" i="14"/>
  <c r="C30" i="14"/>
  <c r="C31" i="14"/>
  <c r="C32" i="14"/>
  <c r="C34" i="14"/>
  <c r="C35" i="14"/>
  <c r="C36" i="14"/>
  <c r="C37" i="14"/>
  <c r="C38" i="14"/>
  <c r="C39" i="14"/>
  <c r="B21" i="14"/>
  <c r="B22" i="14"/>
  <c r="B23" i="14"/>
  <c r="B24" i="14"/>
  <c r="B25" i="14"/>
  <c r="B26" i="14"/>
  <c r="B27" i="14"/>
  <c r="B28" i="14"/>
  <c r="B29" i="14"/>
  <c r="B30" i="14"/>
  <c r="B31" i="14"/>
  <c r="B32" i="14"/>
  <c r="B33" i="14"/>
  <c r="B34" i="14"/>
  <c r="B35" i="14"/>
  <c r="B36" i="14"/>
  <c r="B37" i="14"/>
  <c r="B38" i="14"/>
  <c r="B39" i="14"/>
  <c r="B20" i="14"/>
  <c r="D47" i="13"/>
  <c r="CP34" i="2" l="1"/>
  <c r="D15" i="13" s="1"/>
  <c r="B63" i="14"/>
  <c r="B91" i="14"/>
  <c r="B59" i="14"/>
  <c r="B87" i="14"/>
  <c r="B55" i="14"/>
  <c r="B83" i="14"/>
  <c r="B51" i="14"/>
  <c r="B79" i="14"/>
  <c r="B66" i="14"/>
  <c r="B94" i="14"/>
  <c r="B62" i="14"/>
  <c r="B90" i="14"/>
  <c r="B58" i="14"/>
  <c r="B86" i="14"/>
  <c r="B54" i="14"/>
  <c r="B82" i="14"/>
  <c r="B50" i="14"/>
  <c r="B78" i="14"/>
  <c r="B65" i="14"/>
  <c r="B93" i="14"/>
  <c r="B61" i="14"/>
  <c r="B89" i="14"/>
  <c r="B57" i="14"/>
  <c r="B85" i="14"/>
  <c r="B53" i="14"/>
  <c r="B81" i="14"/>
  <c r="B64" i="14"/>
  <c r="B92" i="14"/>
  <c r="B60" i="14"/>
  <c r="B88" i="14"/>
  <c r="B56" i="14"/>
  <c r="B84" i="14"/>
  <c r="B52" i="14"/>
  <c r="B80" i="14"/>
  <c r="B49" i="14"/>
  <c r="B77" i="14"/>
  <c r="B48" i="14"/>
  <c r="B76" i="14"/>
  <c r="B47" i="14"/>
  <c r="B75" i="14"/>
  <c r="G38" i="14"/>
  <c r="D38" i="14"/>
  <c r="G36" i="14"/>
  <c r="D36" i="14"/>
  <c r="G34" i="14"/>
  <c r="D34" i="14"/>
  <c r="G32" i="14"/>
  <c r="D32" i="14"/>
  <c r="G30" i="14"/>
  <c r="D30" i="14"/>
  <c r="G28" i="14"/>
  <c r="D28" i="14"/>
  <c r="G26" i="14"/>
  <c r="D26" i="14"/>
  <c r="G24" i="14"/>
  <c r="D24" i="14"/>
  <c r="G22" i="14"/>
  <c r="D22" i="14"/>
  <c r="D39" i="14"/>
  <c r="G39" i="14"/>
  <c r="D37" i="14"/>
  <c r="G37" i="14"/>
  <c r="D35" i="14"/>
  <c r="G35" i="14"/>
  <c r="D33" i="14"/>
  <c r="G33" i="14"/>
  <c r="D31" i="14"/>
  <c r="G31" i="14"/>
  <c r="D29" i="14"/>
  <c r="G29" i="14"/>
  <c r="D27" i="14"/>
  <c r="G27" i="14"/>
  <c r="D25" i="14"/>
  <c r="G25" i="14"/>
  <c r="D23" i="14"/>
  <c r="G23" i="14"/>
  <c r="D21" i="14"/>
  <c r="G21" i="14"/>
  <c r="D41" i="12"/>
  <c r="Y4" i="13"/>
  <c r="X4" i="13"/>
  <c r="W4" i="13"/>
  <c r="V4" i="13"/>
  <c r="U4" i="13"/>
  <c r="T4" i="13"/>
  <c r="S4" i="13"/>
  <c r="R4" i="13"/>
  <c r="Q4" i="13"/>
  <c r="P4" i="13"/>
  <c r="O4" i="13"/>
  <c r="N4" i="13"/>
  <c r="M4" i="13"/>
  <c r="L4" i="13"/>
  <c r="K4" i="13"/>
  <c r="J4" i="13"/>
  <c r="I4" i="13"/>
  <c r="H4" i="13"/>
  <c r="G4" i="13"/>
  <c r="F4" i="13"/>
  <c r="F41" i="12"/>
  <c r="G41" i="12"/>
  <c r="I41" i="12"/>
  <c r="J41" i="12"/>
  <c r="K41" i="12"/>
  <c r="L41" i="12"/>
  <c r="M41" i="12"/>
  <c r="N41" i="12"/>
  <c r="E41" i="12"/>
  <c r="H22" i="12"/>
  <c r="H23" i="12"/>
  <c r="D49" i="14" s="1"/>
  <c r="H24" i="12"/>
  <c r="D50" i="14" s="1"/>
  <c r="H25" i="12"/>
  <c r="D51" i="14" s="1"/>
  <c r="H26" i="12"/>
  <c r="H27" i="12"/>
  <c r="H28" i="12"/>
  <c r="H29" i="12"/>
  <c r="H30" i="12"/>
  <c r="H31" i="12"/>
  <c r="H32" i="12"/>
  <c r="H33" i="12"/>
  <c r="H34" i="12"/>
  <c r="H35" i="12"/>
  <c r="H36" i="12"/>
  <c r="H37" i="12"/>
  <c r="H38" i="12"/>
  <c r="H39" i="12"/>
  <c r="H40" i="12"/>
  <c r="H21" i="12"/>
  <c r="BL72" i="2"/>
  <c r="BR72" i="2" s="1"/>
  <c r="BV72" i="2" s="1"/>
  <c r="CE72" i="2" s="1"/>
  <c r="CI72" i="2" s="1"/>
  <c r="CM72" i="2" s="1"/>
  <c r="BG72" i="2"/>
  <c r="BM72" i="2" s="1"/>
  <c r="BQ72" i="2" s="1"/>
  <c r="BW72" i="2" s="1"/>
  <c r="CD72" i="2" s="1"/>
  <c r="K37" i="13" l="1"/>
  <c r="K29" i="13"/>
  <c r="K21" i="13"/>
  <c r="K11" i="13"/>
  <c r="K55" i="13"/>
  <c r="K38" i="13"/>
  <c r="K30" i="13"/>
  <c r="K22" i="13"/>
  <c r="K12" i="13"/>
  <c r="K15" i="13"/>
  <c r="K54" i="13"/>
  <c r="K35" i="13"/>
  <c r="K19" i="13"/>
  <c r="K41" i="13"/>
  <c r="K31" i="13"/>
  <c r="K23" i="13"/>
  <c r="K13" i="13"/>
  <c r="K42" i="13"/>
  <c r="K32" i="13"/>
  <c r="K24" i="13"/>
  <c r="K34" i="13"/>
  <c r="K26" i="13"/>
  <c r="K18" i="13"/>
  <c r="K27" i="13"/>
  <c r="K36" i="13"/>
  <c r="K28" i="13"/>
  <c r="K20" i="13"/>
  <c r="J55" i="13"/>
  <c r="J29" i="13"/>
  <c r="J23" i="13"/>
  <c r="J20" i="13"/>
  <c r="J18" i="13"/>
  <c r="J12" i="13"/>
  <c r="J41" i="13"/>
  <c r="J35" i="13"/>
  <c r="J32" i="13"/>
  <c r="J30" i="13"/>
  <c r="J28" i="13"/>
  <c r="J27" i="13"/>
  <c r="J24" i="13"/>
  <c r="J22" i="13"/>
  <c r="J21" i="13"/>
  <c r="J11" i="13"/>
  <c r="J54" i="13"/>
  <c r="J42" i="13"/>
  <c r="J34" i="13"/>
  <c r="J31" i="13"/>
  <c r="J13" i="13"/>
  <c r="J38" i="13"/>
  <c r="J37" i="13"/>
  <c r="J36" i="13"/>
  <c r="J26" i="13"/>
  <c r="J19" i="13"/>
  <c r="J15" i="13"/>
  <c r="I55" i="13"/>
  <c r="I35" i="13"/>
  <c r="I27" i="13"/>
  <c r="I19" i="13"/>
  <c r="I13" i="13"/>
  <c r="I38" i="13"/>
  <c r="I22" i="13"/>
  <c r="I37" i="13"/>
  <c r="I11" i="13"/>
  <c r="I36" i="13"/>
  <c r="I28" i="13"/>
  <c r="I54" i="13"/>
  <c r="I34" i="13"/>
  <c r="I26" i="13"/>
  <c r="I18" i="13"/>
  <c r="I21" i="13"/>
  <c r="I15" i="13"/>
  <c r="I30" i="13"/>
  <c r="I12" i="13"/>
  <c r="I29" i="13"/>
  <c r="I42" i="13"/>
  <c r="I32" i="13"/>
  <c r="I24" i="13"/>
  <c r="I41" i="13"/>
  <c r="I31" i="13"/>
  <c r="I23" i="13"/>
  <c r="I20" i="13"/>
  <c r="H27" i="13"/>
  <c r="H23" i="13"/>
  <c r="H13" i="13"/>
  <c r="H37" i="13"/>
  <c r="H29" i="13"/>
  <c r="H21" i="13"/>
  <c r="H36" i="13"/>
  <c r="H55" i="13"/>
  <c r="H41" i="13"/>
  <c r="H35" i="13"/>
  <c r="H31" i="13"/>
  <c r="H19" i="13"/>
  <c r="H15" i="13"/>
  <c r="H28" i="13"/>
  <c r="H24" i="13"/>
  <c r="H20" i="13"/>
  <c r="H11" i="13"/>
  <c r="H32" i="13"/>
  <c r="H54" i="13"/>
  <c r="H38" i="13"/>
  <c r="H34" i="13"/>
  <c r="H30" i="13"/>
  <c r="H26" i="13"/>
  <c r="H22" i="13"/>
  <c r="H18" i="13"/>
  <c r="H12" i="13"/>
  <c r="H42" i="13"/>
  <c r="G54" i="13"/>
  <c r="G55" i="13"/>
  <c r="G15" i="13"/>
  <c r="F55" i="13"/>
  <c r="F54" i="13"/>
  <c r="F15" i="13"/>
  <c r="CL72" i="2"/>
  <c r="CR72" i="2"/>
  <c r="M51" i="13"/>
  <c r="Q51" i="13"/>
  <c r="U51" i="13"/>
  <c r="Y51" i="13"/>
  <c r="N51" i="13"/>
  <c r="R51" i="13"/>
  <c r="V51" i="13"/>
  <c r="O51" i="13"/>
  <c r="S51" i="13"/>
  <c r="W51" i="13"/>
  <c r="T51" i="13"/>
  <c r="X51" i="13"/>
  <c r="P51" i="13"/>
  <c r="H41" i="12"/>
  <c r="CP72" i="2"/>
  <c r="D46" i="13" s="1"/>
  <c r="D48" i="13" s="1"/>
  <c r="Y56" i="13" l="1"/>
  <c r="Q56" i="13"/>
  <c r="I56" i="13"/>
  <c r="X56" i="13"/>
  <c r="P56" i="13"/>
  <c r="S56" i="13"/>
  <c r="V56" i="13"/>
  <c r="N56" i="13"/>
  <c r="O56" i="13"/>
  <c r="R56" i="13"/>
  <c r="J56" i="13"/>
  <c r="U16" i="13"/>
  <c r="U56" i="13"/>
  <c r="M56" i="13"/>
  <c r="S16" i="13"/>
  <c r="R16" i="13"/>
  <c r="P16" i="13"/>
  <c r="V16" i="13"/>
  <c r="Y16" i="13"/>
  <c r="T16" i="13"/>
  <c r="N16" i="13"/>
  <c r="M16" i="13"/>
  <c r="Q16" i="13"/>
  <c r="O16" i="13"/>
  <c r="W16" i="13"/>
  <c r="X16" i="13"/>
  <c r="K56" i="13"/>
  <c r="T56" i="13"/>
  <c r="L56" i="13"/>
  <c r="W56" i="13"/>
  <c r="N44" i="13"/>
  <c r="M39" i="13"/>
  <c r="M44" i="13"/>
  <c r="X44" i="13"/>
  <c r="V39" i="13"/>
  <c r="T44" i="13"/>
  <c r="R39" i="13"/>
  <c r="P39" i="13"/>
  <c r="N39" i="13"/>
  <c r="Y39" i="13"/>
  <c r="Y44" i="13"/>
  <c r="W39" i="13"/>
  <c r="W44" i="13"/>
  <c r="U39" i="13"/>
  <c r="U44" i="13"/>
  <c r="S39" i="13"/>
  <c r="S44" i="13"/>
  <c r="Q39" i="13"/>
  <c r="Q44" i="13"/>
  <c r="O39" i="13"/>
  <c r="O44" i="13"/>
  <c r="X39" i="13"/>
  <c r="V44" i="13"/>
  <c r="T39" i="13"/>
  <c r="R44" i="13"/>
  <c r="P44" i="13"/>
  <c r="N42" i="12"/>
  <c r="N43" i="12" s="1"/>
  <c r="R50" i="13" l="1"/>
  <c r="R52" i="13" s="1"/>
  <c r="Y50" i="13"/>
  <c r="Y52" i="13" s="1"/>
  <c r="P50" i="13"/>
  <c r="P52" i="13" s="1"/>
  <c r="X50" i="13"/>
  <c r="X52" i="13" s="1"/>
  <c r="M50" i="13"/>
  <c r="Q50" i="13"/>
  <c r="Q52" i="13" s="1"/>
  <c r="U50" i="13"/>
  <c r="U52" i="13" s="1"/>
  <c r="N50" i="13"/>
  <c r="N52" i="13" s="1"/>
  <c r="V50" i="13"/>
  <c r="V52" i="13" s="1"/>
  <c r="T50" i="13"/>
  <c r="T52" i="13" s="1"/>
  <c r="O50" i="13"/>
  <c r="O52" i="13" s="1"/>
  <c r="S50" i="13"/>
  <c r="S52" i="13" s="1"/>
  <c r="W50" i="13"/>
  <c r="W52" i="13" s="1"/>
  <c r="BB57" i="2"/>
  <c r="BH57" i="2" s="1"/>
  <c r="BL57" i="2" s="1"/>
  <c r="BR57" i="2" s="1"/>
  <c r="BV57" i="2" s="1"/>
  <c r="CE57" i="2" s="1"/>
  <c r="CI57" i="2" s="1"/>
  <c r="CM57" i="2" s="1"/>
  <c r="AS44" i="2"/>
  <c r="AW44" i="2" s="1"/>
  <c r="BC44" i="2" s="1"/>
  <c r="BG44" i="2" s="1"/>
  <c r="BM44" i="2" s="1"/>
  <c r="BQ44" i="2" s="1"/>
  <c r="BW44" i="2" s="1"/>
  <c r="CD44" i="2" s="1"/>
  <c r="BM45" i="2"/>
  <c r="BQ45" i="2" s="1"/>
  <c r="BW45" i="2" s="1"/>
  <c r="CD45" i="2" s="1"/>
  <c r="BM46" i="2"/>
  <c r="BQ46" i="2" s="1"/>
  <c r="BW46" i="2" s="1"/>
  <c r="CD46" i="2" s="1"/>
  <c r="I30" i="2"/>
  <c r="O30" i="2" s="1"/>
  <c r="S30" i="2" s="1"/>
  <c r="Y30" i="2" s="1"/>
  <c r="AC30" i="2" s="1"/>
  <c r="AI30" i="2" s="1"/>
  <c r="AM30" i="2" s="1"/>
  <c r="AS30" i="2" s="1"/>
  <c r="AW30" i="2" s="1"/>
  <c r="BC30" i="2" s="1"/>
  <c r="BG30" i="2" s="1"/>
  <c r="BM30" i="2" s="1"/>
  <c r="BQ30" i="2" s="1"/>
  <c r="BW30" i="2" s="1"/>
  <c r="CD30" i="2" s="1"/>
  <c r="CK63" i="2"/>
  <c r="CJ63" i="2"/>
  <c r="BU63" i="2"/>
  <c r="BT63" i="2"/>
  <c r="BO63" i="2"/>
  <c r="BN63" i="2"/>
  <c r="BN69" i="2" s="1"/>
  <c r="BN75" i="2" s="1"/>
  <c r="BK63" i="2"/>
  <c r="BJ63" i="2"/>
  <c r="BD63" i="2"/>
  <c r="AT63" i="2"/>
  <c r="AT69" i="2" s="1"/>
  <c r="AT75" i="2" s="1"/>
  <c r="AJ63" i="2"/>
  <c r="Z63" i="2"/>
  <c r="P63" i="2"/>
  <c r="P69" i="2" s="1"/>
  <c r="P75" i="2" s="1"/>
  <c r="CK69" i="2"/>
  <c r="CK75" i="2" s="1"/>
  <c r="BO69" i="2"/>
  <c r="BO75" i="2" s="1"/>
  <c r="CD82" i="2"/>
  <c r="BR46" i="2"/>
  <c r="BV46" i="2" s="1"/>
  <c r="CE46" i="2" s="1"/>
  <c r="CI46" i="2" s="1"/>
  <c r="CM46" i="2" s="1"/>
  <c r="BR45" i="2"/>
  <c r="BV45" i="2" s="1"/>
  <c r="CE45" i="2" s="1"/>
  <c r="CI45" i="2" s="1"/>
  <c r="CM45" i="2" s="1"/>
  <c r="N33" i="2"/>
  <c r="T33" i="2" s="1"/>
  <c r="X33" i="2" s="1"/>
  <c r="AD33" i="2" s="1"/>
  <c r="AH33" i="2" s="1"/>
  <c r="AN33" i="2" s="1"/>
  <c r="AR33" i="2" s="1"/>
  <c r="AX33" i="2" s="1"/>
  <c r="BB33" i="2" s="1"/>
  <c r="BH33" i="2" s="1"/>
  <c r="BL33" i="2" s="1"/>
  <c r="BR33" i="2" s="1"/>
  <c r="BV33" i="2" s="1"/>
  <c r="CE33" i="2" s="1"/>
  <c r="CI33" i="2" s="1"/>
  <c r="CM33" i="2" s="1"/>
  <c r="I33" i="2"/>
  <c r="O33" i="2" s="1"/>
  <c r="S33" i="2" s="1"/>
  <c r="Y33" i="2" s="1"/>
  <c r="AC33" i="2" s="1"/>
  <c r="AI33" i="2" s="1"/>
  <c r="AM33" i="2" s="1"/>
  <c r="AS33" i="2" s="1"/>
  <c r="AW33" i="2" s="1"/>
  <c r="BC33" i="2" s="1"/>
  <c r="BG33" i="2" s="1"/>
  <c r="BS63" i="2"/>
  <c r="BP63" i="2"/>
  <c r="BU38" i="2"/>
  <c r="BT38" i="2"/>
  <c r="BS38" i="2"/>
  <c r="BP38" i="2"/>
  <c r="BO38" i="2"/>
  <c r="BN38" i="2"/>
  <c r="N66" i="2"/>
  <c r="T66" i="2" s="1"/>
  <c r="X66" i="2" s="1"/>
  <c r="AD66" i="2" s="1"/>
  <c r="AH66" i="2" s="1"/>
  <c r="AN66" i="2" s="1"/>
  <c r="AR66" i="2" s="1"/>
  <c r="AX66" i="2" s="1"/>
  <c r="BB66" i="2" s="1"/>
  <c r="BH66" i="2" s="1"/>
  <c r="I24" i="2"/>
  <c r="I27" i="2"/>
  <c r="O27" i="2" s="1"/>
  <c r="S27" i="2" s="1"/>
  <c r="Y27" i="2" s="1"/>
  <c r="AC27" i="2" s="1"/>
  <c r="AI27" i="2" s="1"/>
  <c r="AM27" i="2" s="1"/>
  <c r="AS27" i="2" s="1"/>
  <c r="AW27" i="2" s="1"/>
  <c r="BC27" i="2" s="1"/>
  <c r="BG27" i="2" s="1"/>
  <c r="BM27" i="2" s="1"/>
  <c r="BQ27" i="2" s="1"/>
  <c r="BW27" i="2" s="1"/>
  <c r="CD27" i="2" s="1"/>
  <c r="I25" i="2"/>
  <c r="O25" i="2" s="1"/>
  <c r="S25" i="2" s="1"/>
  <c r="I26" i="2"/>
  <c r="O26" i="2" s="1"/>
  <c r="S26" i="2" s="1"/>
  <c r="Y26" i="2" s="1"/>
  <c r="AC26" i="2" s="1"/>
  <c r="AI26" i="2" s="1"/>
  <c r="AM26" i="2" s="1"/>
  <c r="AS26" i="2" s="1"/>
  <c r="AW26" i="2" s="1"/>
  <c r="BC26" i="2" s="1"/>
  <c r="BG26" i="2" s="1"/>
  <c r="BM26" i="2" s="1"/>
  <c r="BQ26" i="2" s="1"/>
  <c r="BW26" i="2" s="1"/>
  <c r="CD26" i="2" s="1"/>
  <c r="I28" i="2"/>
  <c r="O28" i="2" s="1"/>
  <c r="S28" i="2" s="1"/>
  <c r="Y28" i="2" s="1"/>
  <c r="AC28" i="2" s="1"/>
  <c r="AI28" i="2" s="1"/>
  <c r="AM28" i="2" s="1"/>
  <c r="AS28" i="2" s="1"/>
  <c r="AW28" i="2" s="1"/>
  <c r="BC28" i="2" s="1"/>
  <c r="BG28" i="2" s="1"/>
  <c r="BM28" i="2" s="1"/>
  <c r="BQ28" i="2" s="1"/>
  <c r="BW28" i="2" s="1"/>
  <c r="CD28" i="2" s="1"/>
  <c r="I29" i="2"/>
  <c r="O29" i="2" s="1"/>
  <c r="O38" i="2" s="1"/>
  <c r="I31" i="2"/>
  <c r="O31" i="2" s="1"/>
  <c r="I32" i="2"/>
  <c r="O32" i="2" s="1"/>
  <c r="S32" i="2" s="1"/>
  <c r="Y32" i="2" s="1"/>
  <c r="AC32" i="2" s="1"/>
  <c r="AI32" i="2" s="1"/>
  <c r="AM32" i="2" s="1"/>
  <c r="AS32" i="2" s="1"/>
  <c r="AW32" i="2" s="1"/>
  <c r="BC32" i="2" s="1"/>
  <c r="BG32" i="2" s="1"/>
  <c r="BM32" i="2" s="1"/>
  <c r="BQ32" i="2" s="1"/>
  <c r="BW32" i="2" s="1"/>
  <c r="CD32" i="2" s="1"/>
  <c r="I41" i="2"/>
  <c r="O41" i="2" s="1"/>
  <c r="I42" i="2"/>
  <c r="O42" i="2" s="1"/>
  <c r="S42" i="2" s="1"/>
  <c r="Y42" i="2" s="1"/>
  <c r="AC42" i="2" s="1"/>
  <c r="AI42" i="2" s="1"/>
  <c r="AM42" i="2" s="1"/>
  <c r="AS42" i="2" s="1"/>
  <c r="AW42" i="2" s="1"/>
  <c r="BC42" i="2" s="1"/>
  <c r="BG42" i="2" s="1"/>
  <c r="BM42" i="2" s="1"/>
  <c r="BQ42" i="2" s="1"/>
  <c r="BW42" i="2" s="1"/>
  <c r="CD42" i="2" s="1"/>
  <c r="I43" i="2"/>
  <c r="O43" i="2" s="1"/>
  <c r="S43" i="2" s="1"/>
  <c r="Y43" i="2" s="1"/>
  <c r="AC43" i="2" s="1"/>
  <c r="AI43" i="2" s="1"/>
  <c r="AM43" i="2" s="1"/>
  <c r="AS43" i="2" s="1"/>
  <c r="AW43" i="2" s="1"/>
  <c r="BC43" i="2" s="1"/>
  <c r="BG43" i="2" s="1"/>
  <c r="BM43" i="2" s="1"/>
  <c r="BQ43" i="2" s="1"/>
  <c r="BW43" i="2" s="1"/>
  <c r="CD43" i="2" s="1"/>
  <c r="I47" i="2"/>
  <c r="O47" i="2" s="1"/>
  <c r="S47" i="2" s="1"/>
  <c r="Y47" i="2" s="1"/>
  <c r="AC47" i="2" s="1"/>
  <c r="AI47" i="2" s="1"/>
  <c r="AM47" i="2" s="1"/>
  <c r="AS47" i="2" s="1"/>
  <c r="AW47" i="2" s="1"/>
  <c r="BC47" i="2" s="1"/>
  <c r="BG47" i="2" s="1"/>
  <c r="BM47" i="2" s="1"/>
  <c r="BQ47" i="2" s="1"/>
  <c r="BW47" i="2" s="1"/>
  <c r="CD47" i="2" s="1"/>
  <c r="I48" i="2"/>
  <c r="O48" i="2" s="1"/>
  <c r="S48" i="2" s="1"/>
  <c r="Y48" i="2" s="1"/>
  <c r="AC48" i="2" s="1"/>
  <c r="AI48" i="2" s="1"/>
  <c r="AM48" i="2" s="1"/>
  <c r="AS48" i="2" s="1"/>
  <c r="AW48" i="2" s="1"/>
  <c r="BC48" i="2" s="1"/>
  <c r="BG48" i="2" s="1"/>
  <c r="BM48" i="2" s="1"/>
  <c r="BQ48" i="2" s="1"/>
  <c r="BW48" i="2" s="1"/>
  <c r="CD48" i="2" s="1"/>
  <c r="I49" i="2"/>
  <c r="O49" i="2" s="1"/>
  <c r="S49" i="2" s="1"/>
  <c r="Y49" i="2" s="1"/>
  <c r="AC49" i="2" s="1"/>
  <c r="AI49" i="2" s="1"/>
  <c r="AM49" i="2" s="1"/>
  <c r="AS49" i="2" s="1"/>
  <c r="AW49" i="2" s="1"/>
  <c r="BC49" i="2" s="1"/>
  <c r="BG49" i="2" s="1"/>
  <c r="BM49" i="2" s="1"/>
  <c r="BQ49" i="2" s="1"/>
  <c r="BW49" i="2" s="1"/>
  <c r="CD49" i="2" s="1"/>
  <c r="I56" i="2"/>
  <c r="O56" i="2" s="1"/>
  <c r="S56" i="2" s="1"/>
  <c r="Y56" i="2" s="1"/>
  <c r="AC56" i="2" s="1"/>
  <c r="AI56" i="2" s="1"/>
  <c r="AM56" i="2" s="1"/>
  <c r="AS56" i="2" s="1"/>
  <c r="AW56" i="2" s="1"/>
  <c r="BC56" i="2" s="1"/>
  <c r="BG56" i="2" s="1"/>
  <c r="BM56" i="2" s="1"/>
  <c r="BQ56" i="2" s="1"/>
  <c r="BW56" i="2" s="1"/>
  <c r="CD56" i="2" s="1"/>
  <c r="I77" i="2"/>
  <c r="O77" i="2" s="1"/>
  <c r="S77" i="2" s="1"/>
  <c r="Y77" i="2" s="1"/>
  <c r="AC77" i="2" s="1"/>
  <c r="AI77" i="2" s="1"/>
  <c r="AM77" i="2" s="1"/>
  <c r="AS77" i="2" s="1"/>
  <c r="AW77" i="2" s="1"/>
  <c r="BC77" i="2" s="1"/>
  <c r="BG77" i="2" s="1"/>
  <c r="BM77" i="2" s="1"/>
  <c r="BQ77" i="2" s="1"/>
  <c r="BW77" i="2" s="1"/>
  <c r="CD77" i="2" s="1"/>
  <c r="I78" i="2"/>
  <c r="O78" i="2" s="1"/>
  <c r="S78" i="2" s="1"/>
  <c r="Y78" i="2" s="1"/>
  <c r="AC78" i="2" s="1"/>
  <c r="AI78" i="2" s="1"/>
  <c r="AM78" i="2" s="1"/>
  <c r="AS78" i="2" s="1"/>
  <c r="AW78" i="2" s="1"/>
  <c r="BC78" i="2" s="1"/>
  <c r="BG78" i="2" s="1"/>
  <c r="BM78" i="2" s="1"/>
  <c r="BQ78" i="2" s="1"/>
  <c r="BW78" i="2" s="1"/>
  <c r="CD78" i="2" s="1"/>
  <c r="I79" i="2"/>
  <c r="O79" i="2" s="1"/>
  <c r="S79" i="2" s="1"/>
  <c r="Y79" i="2" s="1"/>
  <c r="AC79" i="2" s="1"/>
  <c r="AI79" i="2" s="1"/>
  <c r="AM79" i="2" s="1"/>
  <c r="AS79" i="2" s="1"/>
  <c r="AW79" i="2" s="1"/>
  <c r="BC79" i="2" s="1"/>
  <c r="BG79" i="2" s="1"/>
  <c r="BM79" i="2" s="1"/>
  <c r="BQ79" i="2" s="1"/>
  <c r="BW79" i="2" s="1"/>
  <c r="CD79" i="2" s="1"/>
  <c r="I80" i="2"/>
  <c r="O80" i="2" s="1"/>
  <c r="S80" i="2" s="1"/>
  <c r="Y80" i="2" s="1"/>
  <c r="AC80" i="2" s="1"/>
  <c r="AI80" i="2" s="1"/>
  <c r="AM80" i="2" s="1"/>
  <c r="AS80" i="2" s="1"/>
  <c r="AW80" i="2" s="1"/>
  <c r="BC80" i="2" s="1"/>
  <c r="BG80" i="2" s="1"/>
  <c r="BM80" i="2" s="1"/>
  <c r="BQ80" i="2" s="1"/>
  <c r="BW80" i="2" s="1"/>
  <c r="CD80" i="2" s="1"/>
  <c r="I58" i="2"/>
  <c r="O58" i="2" s="1"/>
  <c r="S58" i="2" s="1"/>
  <c r="Y58" i="2" s="1"/>
  <c r="AC58" i="2" s="1"/>
  <c r="AI58" i="2" s="1"/>
  <c r="AM58" i="2" s="1"/>
  <c r="AS58" i="2" s="1"/>
  <c r="AW58" i="2" s="1"/>
  <c r="BC58" i="2" s="1"/>
  <c r="BG58" i="2" s="1"/>
  <c r="BM58" i="2" s="1"/>
  <c r="BQ58" i="2" s="1"/>
  <c r="BW58" i="2" s="1"/>
  <c r="CD58" i="2" s="1"/>
  <c r="I59" i="2"/>
  <c r="O59" i="2" s="1"/>
  <c r="S59" i="2" s="1"/>
  <c r="Y59" i="2" s="1"/>
  <c r="AC59" i="2" s="1"/>
  <c r="AI59" i="2" s="1"/>
  <c r="AM59" i="2" s="1"/>
  <c r="AS59" i="2" s="1"/>
  <c r="AW59" i="2" s="1"/>
  <c r="BC59" i="2" s="1"/>
  <c r="BG59" i="2" s="1"/>
  <c r="BM59" i="2" s="1"/>
  <c r="BQ59" i="2" s="1"/>
  <c r="BW59" i="2" s="1"/>
  <c r="CD59" i="2" s="1"/>
  <c r="I60" i="2"/>
  <c r="O60" i="2" s="1"/>
  <c r="S60" i="2" s="1"/>
  <c r="Y60" i="2" s="1"/>
  <c r="AC60" i="2" s="1"/>
  <c r="AI60" i="2" s="1"/>
  <c r="AM60" i="2" s="1"/>
  <c r="AS60" i="2" s="1"/>
  <c r="AW60" i="2" s="1"/>
  <c r="BC60" i="2" s="1"/>
  <c r="BG60" i="2" s="1"/>
  <c r="BM60" i="2" s="1"/>
  <c r="BQ60" i="2" s="1"/>
  <c r="BW60" i="2" s="1"/>
  <c r="CD60" i="2" s="1"/>
  <c r="I61" i="2"/>
  <c r="O61" i="2" s="1"/>
  <c r="S61" i="2" s="1"/>
  <c r="Y61" i="2" s="1"/>
  <c r="AC61" i="2" s="1"/>
  <c r="AI61" i="2" s="1"/>
  <c r="AM61" i="2" s="1"/>
  <c r="AS61" i="2" s="1"/>
  <c r="AW61" i="2" s="1"/>
  <c r="BC61" i="2" s="1"/>
  <c r="BG61" i="2" s="1"/>
  <c r="BM61" i="2" s="1"/>
  <c r="BQ61" i="2" s="1"/>
  <c r="BW61" i="2" s="1"/>
  <c r="CD61" i="2" s="1"/>
  <c r="N27" i="2"/>
  <c r="T27" i="2" s="1"/>
  <c r="X27" i="2" s="1"/>
  <c r="AD27" i="2" s="1"/>
  <c r="AH27" i="2" s="1"/>
  <c r="AN27" i="2" s="1"/>
  <c r="AR27" i="2" s="1"/>
  <c r="AX27" i="2" s="1"/>
  <c r="BB27" i="2" s="1"/>
  <c r="BH27" i="2" s="1"/>
  <c r="BL27" i="2" s="1"/>
  <c r="BR27" i="2" s="1"/>
  <c r="BV27" i="2" s="1"/>
  <c r="CE27" i="2" s="1"/>
  <c r="CI27" i="2" s="1"/>
  <c r="CM27" i="2" s="1"/>
  <c r="N24" i="2"/>
  <c r="N25" i="2"/>
  <c r="T25" i="2" s="1"/>
  <c r="X25" i="2" s="1"/>
  <c r="AD25" i="2" s="1"/>
  <c r="AH25" i="2" s="1"/>
  <c r="AN25" i="2" s="1"/>
  <c r="AR25" i="2" s="1"/>
  <c r="AX25" i="2" s="1"/>
  <c r="BB25" i="2" s="1"/>
  <c r="BH25" i="2" s="1"/>
  <c r="BL25" i="2" s="1"/>
  <c r="BR25" i="2" s="1"/>
  <c r="BV25" i="2" s="1"/>
  <c r="CE25" i="2" s="1"/>
  <c r="CI25" i="2" s="1"/>
  <c r="CM25" i="2" s="1"/>
  <c r="N26" i="2"/>
  <c r="T26" i="2" s="1"/>
  <c r="X26" i="2" s="1"/>
  <c r="AD26" i="2" s="1"/>
  <c r="AH26" i="2" s="1"/>
  <c r="AN26" i="2" s="1"/>
  <c r="AR26" i="2" s="1"/>
  <c r="AX26" i="2" s="1"/>
  <c r="BB26" i="2" s="1"/>
  <c r="BH26" i="2" s="1"/>
  <c r="BL26" i="2" s="1"/>
  <c r="BR26" i="2" s="1"/>
  <c r="BV26" i="2" s="1"/>
  <c r="CE26" i="2" s="1"/>
  <c r="CI26" i="2" s="1"/>
  <c r="CM26" i="2" s="1"/>
  <c r="N28" i="2"/>
  <c r="T28" i="2" s="1"/>
  <c r="X28" i="2" s="1"/>
  <c r="AD28" i="2" s="1"/>
  <c r="AH28" i="2" s="1"/>
  <c r="AN28" i="2" s="1"/>
  <c r="AR28" i="2" s="1"/>
  <c r="AX28" i="2" s="1"/>
  <c r="BB28" i="2" s="1"/>
  <c r="BH28" i="2" s="1"/>
  <c r="BL28" i="2" s="1"/>
  <c r="N29" i="2"/>
  <c r="T29" i="2" s="1"/>
  <c r="N30" i="2"/>
  <c r="T30" i="2" s="1"/>
  <c r="X30" i="2" s="1"/>
  <c r="AD30" i="2" s="1"/>
  <c r="AH30" i="2" s="1"/>
  <c r="AN30" i="2" s="1"/>
  <c r="AR30" i="2" s="1"/>
  <c r="AX30" i="2" s="1"/>
  <c r="BB30" i="2" s="1"/>
  <c r="BH30" i="2" s="1"/>
  <c r="BL30" i="2" s="1"/>
  <c r="BR30" i="2" s="1"/>
  <c r="BV30" i="2" s="1"/>
  <c r="CE30" i="2" s="1"/>
  <c r="CI30" i="2" s="1"/>
  <c r="CM30" i="2" s="1"/>
  <c r="N31" i="2"/>
  <c r="T31" i="2" s="1"/>
  <c r="X31" i="2" s="1"/>
  <c r="AD31" i="2" s="1"/>
  <c r="AH31" i="2" s="1"/>
  <c r="AN31" i="2" s="1"/>
  <c r="AR31" i="2" s="1"/>
  <c r="AX31" i="2" s="1"/>
  <c r="BB31" i="2" s="1"/>
  <c r="BH31" i="2" s="1"/>
  <c r="BL31" i="2" s="1"/>
  <c r="BR31" i="2" s="1"/>
  <c r="BV31" i="2" s="1"/>
  <c r="CE31" i="2" s="1"/>
  <c r="CI31" i="2" s="1"/>
  <c r="CM31" i="2" s="1"/>
  <c r="N32" i="2"/>
  <c r="T32" i="2" s="1"/>
  <c r="X32" i="2" s="1"/>
  <c r="AD32" i="2" s="1"/>
  <c r="AH32" i="2" s="1"/>
  <c r="AN32" i="2" s="1"/>
  <c r="AR32" i="2" s="1"/>
  <c r="AX32" i="2" s="1"/>
  <c r="BB32" i="2" s="1"/>
  <c r="BH32" i="2" s="1"/>
  <c r="BL32" i="2" s="1"/>
  <c r="BR32" i="2" s="1"/>
  <c r="BV32" i="2" s="1"/>
  <c r="CE32" i="2" s="1"/>
  <c r="CI32" i="2" s="1"/>
  <c r="CM32" i="2" s="1"/>
  <c r="N41" i="2"/>
  <c r="T41" i="2" s="1"/>
  <c r="X41" i="2" s="1"/>
  <c r="AD41" i="2" s="1"/>
  <c r="AH41" i="2" s="1"/>
  <c r="AN41" i="2" s="1"/>
  <c r="AR41" i="2" s="1"/>
  <c r="AX41" i="2" s="1"/>
  <c r="BB41" i="2" s="1"/>
  <c r="N42" i="2"/>
  <c r="T42" i="2" s="1"/>
  <c r="X42" i="2" s="1"/>
  <c r="AD42" i="2" s="1"/>
  <c r="N43" i="2"/>
  <c r="T43" i="2" s="1"/>
  <c r="X43" i="2" s="1"/>
  <c r="AD43" i="2" s="1"/>
  <c r="AH43" i="2" s="1"/>
  <c r="AN43" i="2" s="1"/>
  <c r="AR43" i="2" s="1"/>
  <c r="AX43" i="2" s="1"/>
  <c r="BB43" i="2" s="1"/>
  <c r="BH43" i="2" s="1"/>
  <c r="BL43" i="2" s="1"/>
  <c r="BR43" i="2" s="1"/>
  <c r="BV43" i="2" s="1"/>
  <c r="CE43" i="2" s="1"/>
  <c r="CI43" i="2" s="1"/>
  <c r="CM43" i="2" s="1"/>
  <c r="AX44" i="2"/>
  <c r="BB44" i="2" s="1"/>
  <c r="BH44" i="2" s="1"/>
  <c r="BL44" i="2" s="1"/>
  <c r="BR44" i="2" s="1"/>
  <c r="BV44" i="2" s="1"/>
  <c r="CE44" i="2" s="1"/>
  <c r="CI44" i="2" s="1"/>
  <c r="CM44" i="2" s="1"/>
  <c r="N47" i="2"/>
  <c r="T47" i="2" s="1"/>
  <c r="X47" i="2" s="1"/>
  <c r="AD47" i="2" s="1"/>
  <c r="AH47" i="2" s="1"/>
  <c r="AN47" i="2" s="1"/>
  <c r="AR47" i="2" s="1"/>
  <c r="AX47" i="2" s="1"/>
  <c r="BB47" i="2" s="1"/>
  <c r="BH47" i="2" s="1"/>
  <c r="BL47" i="2" s="1"/>
  <c r="BR47" i="2" s="1"/>
  <c r="BV47" i="2" s="1"/>
  <c r="CE47" i="2" s="1"/>
  <c r="CI47" i="2" s="1"/>
  <c r="CM47" i="2" s="1"/>
  <c r="N48" i="2"/>
  <c r="T48" i="2" s="1"/>
  <c r="X48" i="2" s="1"/>
  <c r="AD48" i="2" s="1"/>
  <c r="AH48" i="2" s="1"/>
  <c r="N49" i="2"/>
  <c r="T49" i="2" s="1"/>
  <c r="X49" i="2" s="1"/>
  <c r="AD49" i="2" s="1"/>
  <c r="AH49" i="2" s="1"/>
  <c r="AN49" i="2" s="1"/>
  <c r="AR49" i="2" s="1"/>
  <c r="AX49" i="2" s="1"/>
  <c r="BB49" i="2" s="1"/>
  <c r="BH49" i="2" s="1"/>
  <c r="BL49" i="2" s="1"/>
  <c r="BR49" i="2" s="1"/>
  <c r="BV49" i="2" s="1"/>
  <c r="CE49" i="2" s="1"/>
  <c r="CI49" i="2" s="1"/>
  <c r="CM49" i="2" s="1"/>
  <c r="N56" i="2"/>
  <c r="T56" i="2" s="1"/>
  <c r="X56" i="2" s="1"/>
  <c r="AD56" i="2" s="1"/>
  <c r="AH56" i="2" s="1"/>
  <c r="AN56" i="2" s="1"/>
  <c r="AR56" i="2" s="1"/>
  <c r="AX56" i="2" s="1"/>
  <c r="BB56" i="2" s="1"/>
  <c r="BH56" i="2" s="1"/>
  <c r="BL56" i="2" s="1"/>
  <c r="BR56" i="2" s="1"/>
  <c r="BV56" i="2" s="1"/>
  <c r="CE56" i="2" s="1"/>
  <c r="CI56" i="2" s="1"/>
  <c r="CM56" i="2" s="1"/>
  <c r="N77" i="2"/>
  <c r="T77" i="2" s="1"/>
  <c r="X77" i="2" s="1"/>
  <c r="AD77" i="2" s="1"/>
  <c r="AH77" i="2" s="1"/>
  <c r="AN77" i="2" s="1"/>
  <c r="AR77" i="2" s="1"/>
  <c r="AX77" i="2" s="1"/>
  <c r="BB77" i="2" s="1"/>
  <c r="BH77" i="2" s="1"/>
  <c r="BL77" i="2" s="1"/>
  <c r="BR77" i="2" s="1"/>
  <c r="BV77" i="2" s="1"/>
  <c r="CE77" i="2" s="1"/>
  <c r="CI77" i="2" s="1"/>
  <c r="CM77" i="2" s="1"/>
  <c r="N78" i="2"/>
  <c r="T78" i="2" s="1"/>
  <c r="X78" i="2" s="1"/>
  <c r="AD78" i="2" s="1"/>
  <c r="AH78" i="2" s="1"/>
  <c r="AN78" i="2" s="1"/>
  <c r="AR78" i="2" s="1"/>
  <c r="AX78" i="2" s="1"/>
  <c r="BB78" i="2" s="1"/>
  <c r="BH78" i="2" s="1"/>
  <c r="BL78" i="2" s="1"/>
  <c r="BR78" i="2" s="1"/>
  <c r="BV78" i="2" s="1"/>
  <c r="CE78" i="2" s="1"/>
  <c r="CI78" i="2" s="1"/>
  <c r="CM78" i="2" s="1"/>
  <c r="N79" i="2"/>
  <c r="T79" i="2" s="1"/>
  <c r="X79" i="2" s="1"/>
  <c r="AD79" i="2" s="1"/>
  <c r="AH79" i="2" s="1"/>
  <c r="AN79" i="2" s="1"/>
  <c r="AR79" i="2" s="1"/>
  <c r="AX79" i="2" s="1"/>
  <c r="BB79" i="2" s="1"/>
  <c r="BH79" i="2" s="1"/>
  <c r="BL79" i="2" s="1"/>
  <c r="BR79" i="2" s="1"/>
  <c r="BV79" i="2" s="1"/>
  <c r="CE79" i="2" s="1"/>
  <c r="CI79" i="2" s="1"/>
  <c r="CM79" i="2" s="1"/>
  <c r="N80" i="2"/>
  <c r="T80" i="2" s="1"/>
  <c r="X80" i="2" s="1"/>
  <c r="AD80" i="2" s="1"/>
  <c r="AH80" i="2" s="1"/>
  <c r="AN80" i="2" s="1"/>
  <c r="AR80" i="2" s="1"/>
  <c r="AX80" i="2" s="1"/>
  <c r="BB80" i="2" s="1"/>
  <c r="BH80" i="2" s="1"/>
  <c r="BL80" i="2" s="1"/>
  <c r="BR80" i="2" s="1"/>
  <c r="BV80" i="2" s="1"/>
  <c r="CE80" i="2" s="1"/>
  <c r="CI80" i="2" s="1"/>
  <c r="CM80" i="2" s="1"/>
  <c r="N58" i="2"/>
  <c r="T58" i="2" s="1"/>
  <c r="X58" i="2" s="1"/>
  <c r="AD58" i="2" s="1"/>
  <c r="AH58" i="2" s="1"/>
  <c r="AN58" i="2" s="1"/>
  <c r="AR58" i="2" s="1"/>
  <c r="AX58" i="2" s="1"/>
  <c r="BB58" i="2" s="1"/>
  <c r="BH58" i="2" s="1"/>
  <c r="BL58" i="2" s="1"/>
  <c r="BR58" i="2" s="1"/>
  <c r="BV58" i="2" s="1"/>
  <c r="CE58" i="2" s="1"/>
  <c r="CI58" i="2" s="1"/>
  <c r="CM58" i="2" s="1"/>
  <c r="N59" i="2"/>
  <c r="T59" i="2" s="1"/>
  <c r="X59" i="2" s="1"/>
  <c r="AD59" i="2" s="1"/>
  <c r="AH59" i="2" s="1"/>
  <c r="AN59" i="2" s="1"/>
  <c r="AR59" i="2" s="1"/>
  <c r="AX59" i="2" s="1"/>
  <c r="BB59" i="2" s="1"/>
  <c r="BH59" i="2" s="1"/>
  <c r="BL59" i="2" s="1"/>
  <c r="BR59" i="2" s="1"/>
  <c r="BV59" i="2" s="1"/>
  <c r="CE59" i="2" s="1"/>
  <c r="CI59" i="2" s="1"/>
  <c r="CM59" i="2" s="1"/>
  <c r="N60" i="2"/>
  <c r="T60" i="2" s="1"/>
  <c r="X60" i="2" s="1"/>
  <c r="AD60" i="2" s="1"/>
  <c r="AH60" i="2" s="1"/>
  <c r="AN60" i="2" s="1"/>
  <c r="AR60" i="2" s="1"/>
  <c r="AX60" i="2" s="1"/>
  <c r="BB60" i="2" s="1"/>
  <c r="BH60" i="2" s="1"/>
  <c r="BL60" i="2" s="1"/>
  <c r="N61" i="2"/>
  <c r="T61" i="2" s="1"/>
  <c r="X61" i="2" s="1"/>
  <c r="AD61" i="2" s="1"/>
  <c r="AH61" i="2" s="1"/>
  <c r="AN61" i="2" s="1"/>
  <c r="AR61" i="2" s="1"/>
  <c r="AX61" i="2" s="1"/>
  <c r="BB61" i="2" s="1"/>
  <c r="BH61" i="2" s="1"/>
  <c r="BL61" i="2" s="1"/>
  <c r="BR61" i="2" s="1"/>
  <c r="BV61" i="2" s="1"/>
  <c r="CE61" i="2" s="1"/>
  <c r="CI61" i="2" s="1"/>
  <c r="CM61" i="2" s="1"/>
  <c r="I66" i="2"/>
  <c r="O66" i="2" s="1"/>
  <c r="S66" i="2" s="1"/>
  <c r="Y66" i="2" s="1"/>
  <c r="AC66" i="2" s="1"/>
  <c r="AI66" i="2" s="1"/>
  <c r="AM66" i="2" s="1"/>
  <c r="AS66" i="2" s="1"/>
  <c r="AW66" i="2" s="1"/>
  <c r="BC66" i="2" s="1"/>
  <c r="BG66" i="2" s="1"/>
  <c r="BM66" i="2" s="1"/>
  <c r="BQ66" i="2" s="1"/>
  <c r="BW66" i="2" s="1"/>
  <c r="CD66" i="2" s="1"/>
  <c r="I67" i="2"/>
  <c r="O67" i="2" s="1"/>
  <c r="S67" i="2" s="1"/>
  <c r="Y67" i="2" s="1"/>
  <c r="AC67" i="2" s="1"/>
  <c r="AI67" i="2" s="1"/>
  <c r="AM67" i="2" s="1"/>
  <c r="AS67" i="2" s="1"/>
  <c r="AW67" i="2" s="1"/>
  <c r="BC67" i="2" s="1"/>
  <c r="BG67" i="2" s="1"/>
  <c r="BM67" i="2" s="1"/>
  <c r="BQ67" i="2" s="1"/>
  <c r="BW67" i="2" s="1"/>
  <c r="CD67" i="2" s="1"/>
  <c r="N67" i="2"/>
  <c r="T67" i="2" s="1"/>
  <c r="X67" i="2" s="1"/>
  <c r="AD67" i="2" s="1"/>
  <c r="AH67" i="2" s="1"/>
  <c r="AN67" i="2" s="1"/>
  <c r="AR67" i="2" s="1"/>
  <c r="AX67" i="2" s="1"/>
  <c r="BB67" i="2" s="1"/>
  <c r="BH67" i="2" s="1"/>
  <c r="BL67" i="2" s="1"/>
  <c r="BR67" i="2" s="1"/>
  <c r="BV67" i="2" s="1"/>
  <c r="CE67" i="2" s="1"/>
  <c r="CI67" i="2" s="1"/>
  <c r="CM67" i="2" s="1"/>
  <c r="N65" i="2"/>
  <c r="T65" i="2" s="1"/>
  <c r="X65" i="2" s="1"/>
  <c r="AD65" i="2" s="1"/>
  <c r="AH65" i="2" s="1"/>
  <c r="AN65" i="2" s="1"/>
  <c r="AR65" i="2" s="1"/>
  <c r="AX65" i="2" s="1"/>
  <c r="BB65" i="2" s="1"/>
  <c r="BH65" i="2" s="1"/>
  <c r="BL65" i="2" s="1"/>
  <c r="BR65" i="2" s="1"/>
  <c r="BV65" i="2" s="1"/>
  <c r="CE65" i="2" s="1"/>
  <c r="CI65" i="2" s="1"/>
  <c r="CM65" i="2" s="1"/>
  <c r="I65" i="2"/>
  <c r="O65" i="2" s="1"/>
  <c r="S65" i="2" s="1"/>
  <c r="Y65" i="2" s="1"/>
  <c r="AC65" i="2" s="1"/>
  <c r="AI65" i="2" s="1"/>
  <c r="AM65" i="2" s="1"/>
  <c r="AS65" i="2" s="1"/>
  <c r="AW65" i="2" s="1"/>
  <c r="BC65" i="2" s="1"/>
  <c r="BG65" i="2" s="1"/>
  <c r="BM65" i="2" s="1"/>
  <c r="BQ65" i="2" s="1"/>
  <c r="BW65" i="2" s="1"/>
  <c r="CD65" i="2" s="1"/>
  <c r="AX50" i="2"/>
  <c r="BB50" i="2" s="1"/>
  <c r="BH50" i="2" s="1"/>
  <c r="BL50" i="2" s="1"/>
  <c r="BR50" i="2" s="1"/>
  <c r="BV50" i="2" s="1"/>
  <c r="CE50" i="2" s="1"/>
  <c r="CI50" i="2" s="1"/>
  <c r="CM50" i="2" s="1"/>
  <c r="AW50" i="2"/>
  <c r="BC50" i="2" s="1"/>
  <c r="BG50" i="2" s="1"/>
  <c r="BM50" i="2" s="1"/>
  <c r="BQ50" i="2" s="1"/>
  <c r="BW50" i="2" s="1"/>
  <c r="CD50" i="2" s="1"/>
  <c r="AX51" i="2"/>
  <c r="BB51" i="2" s="1"/>
  <c r="BH51" i="2" s="1"/>
  <c r="BL51" i="2" s="1"/>
  <c r="BR51" i="2" s="1"/>
  <c r="BV51" i="2" s="1"/>
  <c r="CE51" i="2" s="1"/>
  <c r="CI51" i="2" s="1"/>
  <c r="CM51" i="2" s="1"/>
  <c r="AW51" i="2"/>
  <c r="BC51" i="2" s="1"/>
  <c r="BG51" i="2" s="1"/>
  <c r="BM51" i="2" s="1"/>
  <c r="BQ51" i="2" s="1"/>
  <c r="BW51" i="2" s="1"/>
  <c r="CD51" i="2" s="1"/>
  <c r="AX52" i="2"/>
  <c r="BB52" i="2" s="1"/>
  <c r="BH52" i="2" s="1"/>
  <c r="BL52" i="2" s="1"/>
  <c r="BR52" i="2" s="1"/>
  <c r="BV52" i="2" s="1"/>
  <c r="CE52" i="2" s="1"/>
  <c r="CI52" i="2" s="1"/>
  <c r="CM52" i="2" s="1"/>
  <c r="AW52" i="2"/>
  <c r="BC52" i="2" s="1"/>
  <c r="BG52" i="2" s="1"/>
  <c r="BM52" i="2" s="1"/>
  <c r="BQ52" i="2" s="1"/>
  <c r="BW52" i="2" s="1"/>
  <c r="CD52" i="2" s="1"/>
  <c r="AX53" i="2"/>
  <c r="BB53" i="2" s="1"/>
  <c r="BH53" i="2" s="1"/>
  <c r="BL53" i="2" s="1"/>
  <c r="BR53" i="2" s="1"/>
  <c r="BV53" i="2" s="1"/>
  <c r="CE53" i="2" s="1"/>
  <c r="CI53" i="2" s="1"/>
  <c r="CM53" i="2" s="1"/>
  <c r="AW53" i="2"/>
  <c r="BC53" i="2" s="1"/>
  <c r="BG53" i="2" s="1"/>
  <c r="BM53" i="2" s="1"/>
  <c r="BQ53" i="2" s="1"/>
  <c r="BW53" i="2" s="1"/>
  <c r="CD53" i="2" s="1"/>
  <c r="AX54" i="2"/>
  <c r="BB54" i="2" s="1"/>
  <c r="BH54" i="2" s="1"/>
  <c r="BL54" i="2" s="1"/>
  <c r="BR54" i="2" s="1"/>
  <c r="BV54" i="2" s="1"/>
  <c r="CE54" i="2" s="1"/>
  <c r="CI54" i="2" s="1"/>
  <c r="CM54" i="2" s="1"/>
  <c r="AW54" i="2"/>
  <c r="BC54" i="2" s="1"/>
  <c r="BG54" i="2" s="1"/>
  <c r="BM54" i="2" s="1"/>
  <c r="BQ54" i="2" s="1"/>
  <c r="BW54" i="2" s="1"/>
  <c r="CD54" i="2" s="1"/>
  <c r="AX55" i="2"/>
  <c r="BB55" i="2" s="1"/>
  <c r="BH55" i="2" s="1"/>
  <c r="BL55" i="2" s="1"/>
  <c r="BR55" i="2" s="1"/>
  <c r="BV55" i="2" s="1"/>
  <c r="CE55" i="2" s="1"/>
  <c r="CI55" i="2" s="1"/>
  <c r="CM55" i="2" s="1"/>
  <c r="AW55" i="2"/>
  <c r="BC55" i="2" s="1"/>
  <c r="BG55" i="2" s="1"/>
  <c r="BM55" i="2" s="1"/>
  <c r="BQ55" i="2" s="1"/>
  <c r="BW55" i="2" s="1"/>
  <c r="CD55" i="2" s="1"/>
  <c r="I87" i="2"/>
  <c r="O87" i="2" s="1"/>
  <c r="S87" i="2" s="1"/>
  <c r="Y87" i="2" s="1"/>
  <c r="AC87" i="2" s="1"/>
  <c r="AI87" i="2" s="1"/>
  <c r="AM87" i="2" s="1"/>
  <c r="AS87" i="2" s="1"/>
  <c r="AW87" i="2" s="1"/>
  <c r="BC87" i="2" s="1"/>
  <c r="BG87" i="2" s="1"/>
  <c r="BM87" i="2" s="1"/>
  <c r="BQ87" i="2" s="1"/>
  <c r="BW87" i="2" s="1"/>
  <c r="CD87" i="2" s="1"/>
  <c r="N87" i="2"/>
  <c r="T87" i="2" s="1"/>
  <c r="X87" i="2" s="1"/>
  <c r="AD87" i="2" s="1"/>
  <c r="AH87" i="2" s="1"/>
  <c r="AN87" i="2" s="1"/>
  <c r="AR87" i="2" s="1"/>
  <c r="AX87" i="2" s="1"/>
  <c r="BB87" i="2" s="1"/>
  <c r="BH87" i="2" s="1"/>
  <c r="BL87" i="2" s="1"/>
  <c r="BR87" i="2" s="1"/>
  <c r="BV87" i="2" s="1"/>
  <c r="CE87" i="2" s="1"/>
  <c r="CI87" i="2" s="1"/>
  <c r="CM87" i="2" s="1"/>
  <c r="BG57" i="2"/>
  <c r="BM57" i="2" s="1"/>
  <c r="BQ57" i="2" s="1"/>
  <c r="BW57" i="2" s="1"/>
  <c r="CD57" i="2" s="1"/>
  <c r="I88" i="2"/>
  <c r="O88" i="2" s="1"/>
  <c r="S88" i="2" s="1"/>
  <c r="Y88" i="2" s="1"/>
  <c r="AC88" i="2" s="1"/>
  <c r="AI88" i="2" s="1"/>
  <c r="AM88" i="2" s="1"/>
  <c r="AS88" i="2" s="1"/>
  <c r="AW88" i="2" s="1"/>
  <c r="BC88" i="2" s="1"/>
  <c r="BG88" i="2" s="1"/>
  <c r="BM88" i="2" s="1"/>
  <c r="BQ88" i="2" s="1"/>
  <c r="BW88" i="2" s="1"/>
  <c r="CD88" i="2" s="1"/>
  <c r="N88" i="2"/>
  <c r="T88" i="2" s="1"/>
  <c r="X88" i="2" s="1"/>
  <c r="AD88" i="2" s="1"/>
  <c r="AH88" i="2" s="1"/>
  <c r="AN88" i="2" s="1"/>
  <c r="AR88" i="2" s="1"/>
  <c r="AX88" i="2" s="1"/>
  <c r="BB88" i="2" s="1"/>
  <c r="BH88" i="2" s="1"/>
  <c r="BL88" i="2" s="1"/>
  <c r="BR88" i="2" s="1"/>
  <c r="BV88" i="2" s="1"/>
  <c r="CE88" i="2" s="1"/>
  <c r="CI88" i="2" s="1"/>
  <c r="CM88" i="2" s="1"/>
  <c r="CJ38" i="2"/>
  <c r="CJ37" i="2" s="1"/>
  <c r="CK38" i="2"/>
  <c r="CK37" i="2" s="1"/>
  <c r="J63" i="2"/>
  <c r="J69" i="2" s="1"/>
  <c r="J75" i="2" s="1"/>
  <c r="K63" i="2"/>
  <c r="L63" i="2"/>
  <c r="L69" i="2" s="1"/>
  <c r="L75" i="2" s="1"/>
  <c r="M63" i="2"/>
  <c r="M69" i="2" s="1"/>
  <c r="M75" i="2" s="1"/>
  <c r="I86" i="2"/>
  <c r="O86" i="2" s="1"/>
  <c r="S86" i="2" s="1"/>
  <c r="Y86" i="2" s="1"/>
  <c r="AC86" i="2" s="1"/>
  <c r="AI86" i="2" s="1"/>
  <c r="AM86" i="2" s="1"/>
  <c r="AS86" i="2" s="1"/>
  <c r="AW86" i="2" s="1"/>
  <c r="BC86" i="2" s="1"/>
  <c r="BG86" i="2" s="1"/>
  <c r="BM86" i="2" s="1"/>
  <c r="BQ86" i="2" s="1"/>
  <c r="BW86" i="2" s="1"/>
  <c r="CD86" i="2" s="1"/>
  <c r="N86" i="2"/>
  <c r="T86" i="2" s="1"/>
  <c r="X86" i="2" s="1"/>
  <c r="AD86" i="2" s="1"/>
  <c r="AH86" i="2" s="1"/>
  <c r="AN86" i="2" s="1"/>
  <c r="AR86" i="2" s="1"/>
  <c r="AX86" i="2" s="1"/>
  <c r="BB86" i="2" s="1"/>
  <c r="BH86" i="2" s="1"/>
  <c r="BL86" i="2" s="1"/>
  <c r="BR86" i="2" s="1"/>
  <c r="BV86" i="2" s="1"/>
  <c r="CE86" i="2" s="1"/>
  <c r="CI86" i="2" s="1"/>
  <c r="CM86" i="2" s="1"/>
  <c r="CQ38" i="2"/>
  <c r="G63" i="2"/>
  <c r="G69" i="2" s="1"/>
  <c r="G75" i="2" s="1"/>
  <c r="H63" i="2"/>
  <c r="H69" i="2" s="1"/>
  <c r="H75" i="2" s="1"/>
  <c r="Q63" i="2"/>
  <c r="Q69" i="2" s="1"/>
  <c r="Q75" i="2" s="1"/>
  <c r="R63" i="2"/>
  <c r="R69" i="2" s="1"/>
  <c r="R75" i="2" s="1"/>
  <c r="U63" i="2"/>
  <c r="U69" i="2" s="1"/>
  <c r="U75" i="2" s="1"/>
  <c r="V63" i="2"/>
  <c r="V69" i="2" s="1"/>
  <c r="V75" i="2" s="1"/>
  <c r="W63" i="2"/>
  <c r="W69" i="2" s="1"/>
  <c r="W75" i="2" s="1"/>
  <c r="AA63" i="2"/>
  <c r="AA69" i="2" s="1"/>
  <c r="AA75" i="2" s="1"/>
  <c r="AB63" i="2"/>
  <c r="AB69" i="2" s="1"/>
  <c r="AB75" i="2" s="1"/>
  <c r="AE63" i="2"/>
  <c r="AE69" i="2" s="1"/>
  <c r="AE75" i="2" s="1"/>
  <c r="AF63" i="2"/>
  <c r="AF69" i="2" s="1"/>
  <c r="AF75" i="2" s="1"/>
  <c r="AG63" i="2"/>
  <c r="AG69" i="2" s="1"/>
  <c r="AG75" i="2" s="1"/>
  <c r="AK63" i="2"/>
  <c r="AK69" i="2" s="1"/>
  <c r="AK75" i="2" s="1"/>
  <c r="AL63" i="2"/>
  <c r="AL69" i="2" s="1"/>
  <c r="AL75" i="2" s="1"/>
  <c r="AO63" i="2"/>
  <c r="AO69" i="2" s="1"/>
  <c r="AO75" i="2" s="1"/>
  <c r="AP63" i="2"/>
  <c r="AP69" i="2" s="1"/>
  <c r="AP75" i="2" s="1"/>
  <c r="AQ63" i="2"/>
  <c r="AQ69" i="2" s="1"/>
  <c r="AQ75" i="2" s="1"/>
  <c r="AU63" i="2"/>
  <c r="AU69" i="2" s="1"/>
  <c r="AU75" i="2" s="1"/>
  <c r="AV63" i="2"/>
  <c r="AV69" i="2" s="1"/>
  <c r="AV75" i="2" s="1"/>
  <c r="AY63" i="2"/>
  <c r="AY69" i="2" s="1"/>
  <c r="AY75" i="2" s="1"/>
  <c r="AZ63" i="2"/>
  <c r="AZ69" i="2" s="1"/>
  <c r="AZ75" i="2" s="1"/>
  <c r="BA63" i="2"/>
  <c r="BA69" i="2" s="1"/>
  <c r="BA75" i="2" s="1"/>
  <c r="BE63" i="2"/>
  <c r="BE69" i="2" s="1"/>
  <c r="BE75" i="2" s="1"/>
  <c r="BF63" i="2"/>
  <c r="BF69" i="2" s="1"/>
  <c r="BF75" i="2" s="1"/>
  <c r="BI63" i="2"/>
  <c r="BI69" i="2" s="1"/>
  <c r="BI75" i="2" s="1"/>
  <c r="CQ63" i="2"/>
  <c r="F63" i="2"/>
  <c r="F69" i="2" s="1"/>
  <c r="F75" i="2" s="1"/>
  <c r="E63" i="2"/>
  <c r="E69" i="2" s="1"/>
  <c r="E75" i="2" s="1"/>
  <c r="E38" i="2"/>
  <c r="E37" i="2" s="1"/>
  <c r="F38" i="2"/>
  <c r="F37" i="2" s="1"/>
  <c r="G38" i="2"/>
  <c r="G37" i="2" s="1"/>
  <c r="H38" i="2"/>
  <c r="H37" i="2" s="1"/>
  <c r="J38" i="2"/>
  <c r="J37" i="2" s="1"/>
  <c r="K38" i="2"/>
  <c r="K37" i="2" s="1"/>
  <c r="L38" i="2"/>
  <c r="L37" i="2" s="1"/>
  <c r="M38" i="2"/>
  <c r="M37" i="2" s="1"/>
  <c r="N38" i="2"/>
  <c r="P38" i="2"/>
  <c r="P37" i="2" s="1"/>
  <c r="Q38" i="2"/>
  <c r="Q37" i="2" s="1"/>
  <c r="R38" i="2"/>
  <c r="R37" i="2" s="1"/>
  <c r="U38" i="2"/>
  <c r="U37" i="2" s="1"/>
  <c r="V38" i="2"/>
  <c r="V37" i="2" s="1"/>
  <c r="W38" i="2"/>
  <c r="W37" i="2" s="1"/>
  <c r="Z38" i="2"/>
  <c r="Z37" i="2" s="1"/>
  <c r="AA38" i="2"/>
  <c r="AA37" i="2" s="1"/>
  <c r="AB38" i="2"/>
  <c r="AB37" i="2" s="1"/>
  <c r="AE38" i="2"/>
  <c r="AE37" i="2" s="1"/>
  <c r="AF38" i="2"/>
  <c r="AF37" i="2" s="1"/>
  <c r="AG38" i="2"/>
  <c r="AG37" i="2" s="1"/>
  <c r="AJ38" i="2"/>
  <c r="AJ37" i="2" s="1"/>
  <c r="AK38" i="2"/>
  <c r="AK37" i="2" s="1"/>
  <c r="AL38" i="2"/>
  <c r="AL37" i="2" s="1"/>
  <c r="AO38" i="2"/>
  <c r="AO37" i="2" s="1"/>
  <c r="AP38" i="2"/>
  <c r="AQ38" i="2"/>
  <c r="AQ37" i="2" s="1"/>
  <c r="AT38" i="2"/>
  <c r="AT37" i="2" s="1"/>
  <c r="AU38" i="2"/>
  <c r="AV38" i="2"/>
  <c r="AV37" i="2" s="1"/>
  <c r="AY38" i="2"/>
  <c r="AY37" i="2" s="1"/>
  <c r="AZ38" i="2"/>
  <c r="AZ37" i="2" s="1"/>
  <c r="BA38" i="2"/>
  <c r="BA37" i="2" s="1"/>
  <c r="BD38" i="2"/>
  <c r="BD37" i="2" s="1"/>
  <c r="BE38" i="2"/>
  <c r="BE37" i="2" s="1"/>
  <c r="BF38" i="2"/>
  <c r="BF37" i="2" s="1"/>
  <c r="BI38" i="2"/>
  <c r="BI37" i="2" s="1"/>
  <c r="BJ38" i="2"/>
  <c r="BJ37" i="2" s="1"/>
  <c r="BK38" i="2"/>
  <c r="BK37" i="2" s="1"/>
  <c r="C38" i="2"/>
  <c r="S29" i="2"/>
  <c r="S38" i="2" s="1"/>
  <c r="BO37" i="2"/>
  <c r="BU37" i="2"/>
  <c r="BS37" i="2"/>
  <c r="CE82" i="2"/>
  <c r="CI82" i="2" s="1"/>
  <c r="CM82" i="2" s="1"/>
  <c r="BP37" i="2"/>
  <c r="BR28" i="2"/>
  <c r="BV28" i="2" s="1"/>
  <c r="CE28" i="2" s="1"/>
  <c r="CI28" i="2" s="1"/>
  <c r="CM28" i="2" s="1"/>
  <c r="BN37" i="2"/>
  <c r="AP37" i="2"/>
  <c r="BM33" i="2"/>
  <c r="BQ33" i="2" s="1"/>
  <c r="BW33" i="2" s="1"/>
  <c r="CD33" i="2" s="1"/>
  <c r="BR60" i="2"/>
  <c r="BV60" i="2" s="1"/>
  <c r="CE60" i="2" s="1"/>
  <c r="CI60" i="2" s="1"/>
  <c r="CM60" i="2" s="1"/>
  <c r="BT37" i="2"/>
  <c r="S31" i="2"/>
  <c r="Y31" i="2" s="1"/>
  <c r="AC31" i="2" s="1"/>
  <c r="AI31" i="2" s="1"/>
  <c r="AM31" i="2" s="1"/>
  <c r="AS31" i="2" s="1"/>
  <c r="AW31" i="2" s="1"/>
  <c r="BC31" i="2" s="1"/>
  <c r="BG31" i="2" s="1"/>
  <c r="BM31" i="2" s="1"/>
  <c r="BQ31" i="2" s="1"/>
  <c r="BW31" i="2" s="1"/>
  <c r="CD31" i="2" s="1"/>
  <c r="BL66" i="2"/>
  <c r="BR66" i="2" s="1"/>
  <c r="BV66" i="2" s="1"/>
  <c r="CE66" i="2" s="1"/>
  <c r="CI66" i="2" s="1"/>
  <c r="CM66" i="2" s="1"/>
  <c r="Y25" i="2"/>
  <c r="AC25" i="2" s="1"/>
  <c r="AI25" i="2" s="1"/>
  <c r="AM25" i="2" s="1"/>
  <c r="AS25" i="2" s="1"/>
  <c r="AW25" i="2" s="1"/>
  <c r="BC25" i="2" s="1"/>
  <c r="BG25" i="2" s="1"/>
  <c r="BM25" i="2" s="1"/>
  <c r="BQ25" i="2" s="1"/>
  <c r="BW25" i="2" s="1"/>
  <c r="CD25" i="2" s="1"/>
  <c r="AU37" i="2"/>
  <c r="E67" i="11"/>
  <c r="I63" i="2" l="1"/>
  <c r="CL25" i="2"/>
  <c r="CR25" i="2"/>
  <c r="E25" i="11" s="1"/>
  <c r="CL79" i="2"/>
  <c r="CP79" i="2" s="1"/>
  <c r="CR79" i="2"/>
  <c r="E63" i="11" s="1"/>
  <c r="CQ37" i="2"/>
  <c r="CL86" i="2"/>
  <c r="CR86" i="2"/>
  <c r="CL88" i="2"/>
  <c r="CR88" i="2"/>
  <c r="CL55" i="2"/>
  <c r="CR55" i="2"/>
  <c r="CL53" i="2"/>
  <c r="CR53" i="2"/>
  <c r="CL51" i="2"/>
  <c r="CR51" i="2"/>
  <c r="E46" i="11" s="1"/>
  <c r="CL65" i="2"/>
  <c r="CR65" i="2"/>
  <c r="CL66" i="2"/>
  <c r="CR66" i="2"/>
  <c r="CL58" i="2"/>
  <c r="CR58" i="2"/>
  <c r="E53" i="11" s="1"/>
  <c r="CL78" i="2"/>
  <c r="CR78" i="2"/>
  <c r="E62" i="11" s="1"/>
  <c r="CL48" i="2"/>
  <c r="CL42" i="2"/>
  <c r="CL27" i="2"/>
  <c r="CR27" i="2"/>
  <c r="E27" i="11" s="1"/>
  <c r="CL45" i="2"/>
  <c r="CR45" i="2"/>
  <c r="CL57" i="2"/>
  <c r="CP57" i="2" s="1"/>
  <c r="D34" i="13" s="1"/>
  <c r="CR57" i="2"/>
  <c r="CL61" i="2"/>
  <c r="CR61" i="2"/>
  <c r="CL80" i="2"/>
  <c r="CR80" i="2"/>
  <c r="E64" i="11" s="1"/>
  <c r="CL77" i="2"/>
  <c r="CR77" i="2"/>
  <c r="E61" i="11" s="1"/>
  <c r="CL47" i="2"/>
  <c r="CP47" i="2" s="1"/>
  <c r="D24" i="13" s="1"/>
  <c r="CR47" i="2"/>
  <c r="CL28" i="2"/>
  <c r="CR28" i="2"/>
  <c r="CL82" i="2"/>
  <c r="CP82" i="2" s="1"/>
  <c r="D54" i="13" s="1"/>
  <c r="CR82" i="2"/>
  <c r="E65" i="11" s="1"/>
  <c r="CL44" i="2"/>
  <c r="CP44" i="2" s="1"/>
  <c r="D21" i="13" s="1"/>
  <c r="CR44" i="2"/>
  <c r="E39" i="11" s="1"/>
  <c r="CL54" i="2"/>
  <c r="CR54" i="2"/>
  <c r="CL52" i="2"/>
  <c r="CR52" i="2"/>
  <c r="E47" i="11" s="1"/>
  <c r="CL50" i="2"/>
  <c r="CR50" i="2"/>
  <c r="CL60" i="2"/>
  <c r="CR60" i="2"/>
  <c r="CL56" i="2"/>
  <c r="CR56" i="2"/>
  <c r="E51" i="11" s="1"/>
  <c r="CL43" i="2"/>
  <c r="CR43" i="2"/>
  <c r="CL32" i="2"/>
  <c r="CR32" i="2"/>
  <c r="CL26" i="2"/>
  <c r="CR26" i="2"/>
  <c r="E26" i="11" s="1"/>
  <c r="CL30" i="2"/>
  <c r="CP30" i="2" s="1"/>
  <c r="D11" i="13" s="1"/>
  <c r="CR30" i="2"/>
  <c r="CL31" i="2"/>
  <c r="CR31" i="2"/>
  <c r="CL33" i="2"/>
  <c r="CR33" i="2"/>
  <c r="CL87" i="2"/>
  <c r="CP87" i="2" s="1"/>
  <c r="CR87" i="2"/>
  <c r="CL67" i="2"/>
  <c r="CP67" i="2" s="1"/>
  <c r="D43" i="13" s="1"/>
  <c r="CR67" i="2"/>
  <c r="E59" i="11" s="1"/>
  <c r="CL59" i="2"/>
  <c r="CR59" i="2"/>
  <c r="E54" i="11" s="1"/>
  <c r="CL49" i="2"/>
  <c r="CP49" i="2" s="1"/>
  <c r="D26" i="13" s="1"/>
  <c r="CR49" i="2"/>
  <c r="CL46" i="2"/>
  <c r="CP46" i="2" s="1"/>
  <c r="D23" i="13" s="1"/>
  <c r="CR46" i="2"/>
  <c r="E41" i="11" s="1"/>
  <c r="N36" i="2"/>
  <c r="N37" i="2" s="1"/>
  <c r="O24" i="2"/>
  <c r="O36" i="2" s="1"/>
  <c r="O37" i="2" s="1"/>
  <c r="I36" i="2"/>
  <c r="K69" i="2"/>
  <c r="K75" i="2" s="1"/>
  <c r="I38" i="2"/>
  <c r="Y29" i="2"/>
  <c r="X29" i="2"/>
  <c r="T38" i="2"/>
  <c r="E69" i="11"/>
  <c r="E60" i="11"/>
  <c r="E58" i="11"/>
  <c r="AH42" i="2"/>
  <c r="AN42" i="2" s="1"/>
  <c r="AR42" i="2" s="1"/>
  <c r="AX42" i="2" s="1"/>
  <c r="BB42" i="2" s="1"/>
  <c r="BH42" i="2" s="1"/>
  <c r="BL42" i="2" s="1"/>
  <c r="BR42" i="2" s="1"/>
  <c r="BV42" i="2" s="1"/>
  <c r="CE42" i="2" s="1"/>
  <c r="CI42" i="2" s="1"/>
  <c r="CM42" i="2" s="1"/>
  <c r="AD63" i="2"/>
  <c r="E44" i="11"/>
  <c r="E52" i="11"/>
  <c r="CP78" i="2"/>
  <c r="CJ69" i="2"/>
  <c r="CJ75" i="2" s="1"/>
  <c r="AJ69" i="2"/>
  <c r="AJ75" i="2" s="1"/>
  <c r="E49" i="11"/>
  <c r="BP69" i="2"/>
  <c r="BP75" i="2" s="1"/>
  <c r="BS69" i="2"/>
  <c r="BS75" i="2" s="1"/>
  <c r="Z69" i="2"/>
  <c r="Z75" i="2" s="1"/>
  <c r="M52" i="13"/>
  <c r="E33" i="11"/>
  <c r="CP32" i="2"/>
  <c r="D13" i="13" s="1"/>
  <c r="E56" i="11"/>
  <c r="CP31" i="2"/>
  <c r="D12" i="13" s="1"/>
  <c r="E31" i="11"/>
  <c r="CP59" i="2"/>
  <c r="D36" i="13" s="1"/>
  <c r="CP45" i="2"/>
  <c r="D22" i="13" s="1"/>
  <c r="E40" i="11"/>
  <c r="CP86" i="2"/>
  <c r="E42" i="11"/>
  <c r="E68" i="11"/>
  <c r="E38" i="11"/>
  <c r="AH63" i="2"/>
  <c r="AN48" i="2"/>
  <c r="E28" i="11"/>
  <c r="E32" i="11"/>
  <c r="T63" i="2"/>
  <c r="X63" i="2"/>
  <c r="CP77" i="2"/>
  <c r="CP88" i="2"/>
  <c r="BH41" i="2"/>
  <c r="CP61" i="2"/>
  <c r="D38" i="13" s="1"/>
  <c r="CP66" i="2"/>
  <c r="D42" i="13" s="1"/>
  <c r="CP58" i="2"/>
  <c r="D35" i="13" s="1"/>
  <c r="CQ69" i="2"/>
  <c r="E50" i="11"/>
  <c r="E48" i="11"/>
  <c r="E45" i="11"/>
  <c r="CP55" i="2"/>
  <c r="D32" i="13" s="1"/>
  <c r="CP54" i="2"/>
  <c r="D31" i="13" s="1"/>
  <c r="CP53" i="2"/>
  <c r="D30" i="13" s="1"/>
  <c r="CP52" i="2"/>
  <c r="D29" i="13" s="1"/>
  <c r="CP51" i="2"/>
  <c r="D28" i="13" s="1"/>
  <c r="CP50" i="2"/>
  <c r="D27" i="13" s="1"/>
  <c r="CP80" i="2"/>
  <c r="N63" i="2"/>
  <c r="E57" i="11"/>
  <c r="CP65" i="2"/>
  <c r="D41" i="13" s="1"/>
  <c r="T24" i="2"/>
  <c r="T36" i="2" s="1"/>
  <c r="CP60" i="2"/>
  <c r="D37" i="13" s="1"/>
  <c r="E55" i="11"/>
  <c r="CP43" i="2"/>
  <c r="D20" i="13" s="1"/>
  <c r="O63" i="2"/>
  <c r="S41" i="2"/>
  <c r="S24" i="2"/>
  <c r="S36" i="2" s="1"/>
  <c r="E30" i="11"/>
  <c r="BD69" i="2"/>
  <c r="BD75" i="2" s="1"/>
  <c r="BK69" i="2"/>
  <c r="BK75" i="2" s="1"/>
  <c r="BT69" i="2"/>
  <c r="BT75" i="2" s="1"/>
  <c r="BJ69" i="2"/>
  <c r="BJ75" i="2" s="1"/>
  <c r="BU69" i="2"/>
  <c r="BU75" i="2" s="1"/>
  <c r="CO48" i="2" l="1"/>
  <c r="CN48" i="2"/>
  <c r="CN26" i="2"/>
  <c r="CO26" i="2"/>
  <c r="K43" i="13"/>
  <c r="K44" i="13" s="1"/>
  <c r="J43" i="13"/>
  <c r="J44" i="13" s="1"/>
  <c r="H43" i="13"/>
  <c r="H44" i="13" s="1"/>
  <c r="I43" i="13"/>
  <c r="I44" i="13" s="1"/>
  <c r="CO56" i="2"/>
  <c r="CO63" i="2" s="1"/>
  <c r="CN56" i="2"/>
  <c r="CN33" i="2"/>
  <c r="CO33" i="2"/>
  <c r="CO28" i="2"/>
  <c r="CN28" i="2"/>
  <c r="CP28" i="2" s="1"/>
  <c r="D9" i="13" s="1"/>
  <c r="G9" i="13" s="1"/>
  <c r="CO27" i="2"/>
  <c r="CN27" i="2"/>
  <c r="CP27" i="2" s="1"/>
  <c r="D8" i="13" s="1"/>
  <c r="G8" i="13" s="1"/>
  <c r="CO25" i="2"/>
  <c r="CN25" i="2"/>
  <c r="CP25" i="2" s="1"/>
  <c r="D6" i="13" s="1"/>
  <c r="F6" i="13" s="1"/>
  <c r="G43" i="13"/>
  <c r="F43" i="13"/>
  <c r="G42" i="13"/>
  <c r="F42" i="13"/>
  <c r="G41" i="13"/>
  <c r="F41" i="13"/>
  <c r="G38" i="13"/>
  <c r="F38" i="13"/>
  <c r="G37" i="13"/>
  <c r="F37" i="13"/>
  <c r="G36" i="13"/>
  <c r="F36" i="13"/>
  <c r="G35" i="13"/>
  <c r="F35" i="13"/>
  <c r="G34" i="13"/>
  <c r="F34" i="13"/>
  <c r="G32" i="13"/>
  <c r="F32" i="13"/>
  <c r="G31" i="13"/>
  <c r="F31" i="13"/>
  <c r="F30" i="13"/>
  <c r="G30" i="13"/>
  <c r="G29" i="13"/>
  <c r="F29" i="13"/>
  <c r="G28" i="13"/>
  <c r="F28" i="13"/>
  <c r="G27" i="13"/>
  <c r="F27" i="13"/>
  <c r="G26" i="13"/>
  <c r="F26" i="13"/>
  <c r="G24" i="13"/>
  <c r="F24" i="13"/>
  <c r="G23" i="13"/>
  <c r="F23" i="13"/>
  <c r="G22" i="13"/>
  <c r="F22" i="13"/>
  <c r="G21" i="13"/>
  <c r="F21" i="13"/>
  <c r="G20" i="13"/>
  <c r="F20" i="13"/>
  <c r="G13" i="13"/>
  <c r="F13" i="13"/>
  <c r="G12" i="13"/>
  <c r="F12" i="13"/>
  <c r="G11" i="13"/>
  <c r="F11" i="13"/>
  <c r="D56" i="13"/>
  <c r="F56" i="13"/>
  <c r="H56" i="13"/>
  <c r="G56" i="13"/>
  <c r="CP42" i="2"/>
  <c r="D19" i="13" s="1"/>
  <c r="CR42" i="2"/>
  <c r="E37" i="11" s="1"/>
  <c r="I37" i="2"/>
  <c r="CQ75" i="2"/>
  <c r="Y38" i="2"/>
  <c r="AC29" i="2"/>
  <c r="X38" i="2"/>
  <c r="AD29" i="2"/>
  <c r="L44" i="13"/>
  <c r="D44" i="13"/>
  <c r="T37" i="2"/>
  <c r="X24" i="2"/>
  <c r="X36" i="2" s="1"/>
  <c r="BL41" i="2"/>
  <c r="AR48" i="2"/>
  <c r="AN63" i="2"/>
  <c r="S63" i="2"/>
  <c r="Y41" i="2"/>
  <c r="S37" i="2"/>
  <c r="Y24" i="2"/>
  <c r="Y36" i="2" s="1"/>
  <c r="O69" i="2"/>
  <c r="O75" i="2" s="1"/>
  <c r="N69" i="2"/>
  <c r="N75" i="2" s="1"/>
  <c r="I69" i="2"/>
  <c r="I75" i="2" s="1"/>
  <c r="F9" i="13" l="1"/>
  <c r="CP33" i="2"/>
  <c r="D14" i="13" s="1"/>
  <c r="CP26" i="2"/>
  <c r="D7" i="13" s="1"/>
  <c r="G6" i="13"/>
  <c r="I14" i="13"/>
  <c r="K14" i="13"/>
  <c r="J14" i="13"/>
  <c r="H14" i="13"/>
  <c r="J9" i="13"/>
  <c r="H9" i="13"/>
  <c r="I9" i="13"/>
  <c r="K9" i="13"/>
  <c r="F8" i="13"/>
  <c r="I8" i="13"/>
  <c r="J8" i="13"/>
  <c r="K8" i="13"/>
  <c r="H8" i="13"/>
  <c r="G7" i="13"/>
  <c r="K7" i="13"/>
  <c r="H7" i="13"/>
  <c r="F7" i="13"/>
  <c r="J7" i="13"/>
  <c r="I7" i="13"/>
  <c r="J6" i="13"/>
  <c r="K6" i="13"/>
  <c r="H6" i="13"/>
  <c r="I6" i="13"/>
  <c r="CN63" i="2"/>
  <c r="CP56" i="2"/>
  <c r="D33" i="13" s="1"/>
  <c r="F44" i="13"/>
  <c r="G44" i="13"/>
  <c r="G19" i="13"/>
  <c r="F19" i="13"/>
  <c r="E93" i="14"/>
  <c r="F93" i="14" s="1"/>
  <c r="E89" i="14"/>
  <c r="F89" i="14" s="1"/>
  <c r="E85" i="14"/>
  <c r="F85" i="14" s="1"/>
  <c r="E81" i="14"/>
  <c r="F81" i="14" s="1"/>
  <c r="E77" i="14"/>
  <c r="F77" i="14" s="1"/>
  <c r="E92" i="14"/>
  <c r="F92" i="14" s="1"/>
  <c r="E88" i="14"/>
  <c r="F88" i="14" s="1"/>
  <c r="E84" i="14"/>
  <c r="F84" i="14" s="1"/>
  <c r="E80" i="14"/>
  <c r="F80" i="14" s="1"/>
  <c r="E76" i="14"/>
  <c r="F76" i="14" s="1"/>
  <c r="E91" i="14"/>
  <c r="F91" i="14" s="1"/>
  <c r="E87" i="14"/>
  <c r="F87" i="14" s="1"/>
  <c r="E83" i="14"/>
  <c r="F83" i="14" s="1"/>
  <c r="E79" i="14"/>
  <c r="F79" i="14" s="1"/>
  <c r="E75" i="14"/>
  <c r="E94" i="14"/>
  <c r="F94" i="14" s="1"/>
  <c r="E90" i="14"/>
  <c r="F90" i="14" s="1"/>
  <c r="E86" i="14"/>
  <c r="F86" i="14" s="1"/>
  <c r="E82" i="14"/>
  <c r="F82" i="14" s="1"/>
  <c r="E78" i="14"/>
  <c r="F78" i="14" s="1"/>
  <c r="AC38" i="2"/>
  <c r="AI29" i="2"/>
  <c r="AD38" i="2"/>
  <c r="AH29" i="2"/>
  <c r="Y63" i="2"/>
  <c r="AC41" i="2"/>
  <c r="BR41" i="2"/>
  <c r="T69" i="2"/>
  <c r="T75" i="2" s="1"/>
  <c r="Y37" i="2"/>
  <c r="AC24" i="2"/>
  <c r="AC36" i="2" s="1"/>
  <c r="S69" i="2"/>
  <c r="S75" i="2" s="1"/>
  <c r="AR63" i="2"/>
  <c r="AX48" i="2"/>
  <c r="AD24" i="2"/>
  <c r="AD36" i="2" s="1"/>
  <c r="I33" i="13" l="1"/>
  <c r="H33" i="13"/>
  <c r="K33" i="13"/>
  <c r="J33" i="13"/>
  <c r="F33" i="13"/>
  <c r="G33" i="13"/>
  <c r="F14" i="13"/>
  <c r="G14" i="13"/>
  <c r="F75" i="14"/>
  <c r="E95" i="14"/>
  <c r="AM29" i="2"/>
  <c r="AI38" i="2"/>
  <c r="AH38" i="2"/>
  <c r="AN29" i="2"/>
  <c r="AH24" i="2"/>
  <c r="AH36" i="2" s="1"/>
  <c r="BB48" i="2"/>
  <c r="AX63" i="2"/>
  <c r="BV41" i="2"/>
  <c r="CE41" i="2" s="1"/>
  <c r="Y69" i="2"/>
  <c r="Y75" i="2" s="1"/>
  <c r="X37" i="2"/>
  <c r="X69" i="2"/>
  <c r="X75" i="2" s="1"/>
  <c r="AC37" i="2"/>
  <c r="AI24" i="2"/>
  <c r="AI36" i="2" s="1"/>
  <c r="AC63" i="2"/>
  <c r="AI41" i="2"/>
  <c r="CI41" i="2" l="1"/>
  <c r="AM38" i="2"/>
  <c r="AS29" i="2"/>
  <c r="AC69" i="2"/>
  <c r="AC75" i="2" s="1"/>
  <c r="AR29" i="2"/>
  <c r="AN38" i="2"/>
  <c r="BH48" i="2"/>
  <c r="BB63" i="2"/>
  <c r="AD37" i="2"/>
  <c r="AD69" i="2"/>
  <c r="AD75" i="2" s="1"/>
  <c r="AI63" i="2"/>
  <c r="AM41" i="2"/>
  <c r="AI37" i="2"/>
  <c r="AM24" i="2"/>
  <c r="AM36" i="2" s="1"/>
  <c r="AN24" i="2"/>
  <c r="AN36" i="2" s="1"/>
  <c r="CM41" i="2" l="1"/>
  <c r="AW29" i="2"/>
  <c r="AS38" i="2"/>
  <c r="AX29" i="2"/>
  <c r="AR38" i="2"/>
  <c r="AR24" i="2"/>
  <c r="AR36" i="2" s="1"/>
  <c r="AI69" i="2"/>
  <c r="AI75" i="2" s="1"/>
  <c r="BL48" i="2"/>
  <c r="BH63" i="2"/>
  <c r="AH37" i="2"/>
  <c r="AH69" i="2"/>
  <c r="AH75" i="2" s="1"/>
  <c r="AM37" i="2"/>
  <c r="AS24" i="2"/>
  <c r="AS36" i="2" s="1"/>
  <c r="AM63" i="2"/>
  <c r="AS41" i="2"/>
  <c r="BC29" i="2" l="1"/>
  <c r="AW38" i="2"/>
  <c r="AM69" i="2"/>
  <c r="AM75" i="2" s="1"/>
  <c r="BB29" i="2"/>
  <c r="AX38" i="2"/>
  <c r="AN37" i="2"/>
  <c r="AN69" i="2"/>
  <c r="AN75" i="2" s="1"/>
  <c r="AS63" i="2"/>
  <c r="AW41" i="2"/>
  <c r="AS37" i="2"/>
  <c r="AW24" i="2"/>
  <c r="AW36" i="2" s="1"/>
  <c r="BR48" i="2"/>
  <c r="BL63" i="2"/>
  <c r="AX24" i="2"/>
  <c r="AX36" i="2" s="1"/>
  <c r="BG29" i="2" l="1"/>
  <c r="BC38" i="2"/>
  <c r="BB38" i="2"/>
  <c r="BH29" i="2"/>
  <c r="BB24" i="2"/>
  <c r="BB36" i="2" s="1"/>
  <c r="AW37" i="2"/>
  <c r="BC24" i="2"/>
  <c r="BC36" i="2" s="1"/>
  <c r="AW63" i="2"/>
  <c r="BC41" i="2"/>
  <c r="AR37" i="2"/>
  <c r="AR69" i="2"/>
  <c r="AR75" i="2" s="1"/>
  <c r="BV48" i="2"/>
  <c r="CE48" i="2" s="1"/>
  <c r="BR63" i="2"/>
  <c r="AS69" i="2"/>
  <c r="AS75" i="2" s="1"/>
  <c r="CI48" i="2" l="1"/>
  <c r="CR48" i="2" s="1"/>
  <c r="E43" i="11" s="1"/>
  <c r="CE63" i="2"/>
  <c r="BM29" i="2"/>
  <c r="BG38" i="2"/>
  <c r="AW69" i="2"/>
  <c r="AW75" i="2" s="1"/>
  <c r="BH38" i="2"/>
  <c r="BL29" i="2"/>
  <c r="BV63" i="2"/>
  <c r="BC63" i="2"/>
  <c r="BG41" i="2"/>
  <c r="BC37" i="2"/>
  <c r="BG24" i="2"/>
  <c r="BG36" i="2" s="1"/>
  <c r="AX37" i="2"/>
  <c r="AX69" i="2"/>
  <c r="AX75" i="2" s="1"/>
  <c r="BH24" i="2"/>
  <c r="BH36" i="2" s="1"/>
  <c r="L51" i="13" l="1"/>
  <c r="CM48" i="2"/>
  <c r="CP48" i="2" s="1"/>
  <c r="D25" i="13" s="1"/>
  <c r="CI63" i="2"/>
  <c r="BM38" i="2"/>
  <c r="BQ29" i="2"/>
  <c r="BW29" i="2" s="1"/>
  <c r="BR29" i="2"/>
  <c r="BL38" i="2"/>
  <c r="BL24" i="2"/>
  <c r="BL36" i="2" s="1"/>
  <c r="BC69" i="2"/>
  <c r="BC75" i="2" s="1"/>
  <c r="BB37" i="2"/>
  <c r="BB69" i="2"/>
  <c r="BB75" i="2" s="1"/>
  <c r="BG37" i="2"/>
  <c r="BM24" i="2"/>
  <c r="BM36" i="2" s="1"/>
  <c r="BG63" i="2"/>
  <c r="BM41" i="2"/>
  <c r="I25" i="13" l="1"/>
  <c r="K25" i="13"/>
  <c r="J25" i="13"/>
  <c r="H25" i="13"/>
  <c r="CM63" i="2"/>
  <c r="G25" i="13"/>
  <c r="F25" i="13"/>
  <c r="CD29" i="2"/>
  <c r="BW38" i="2"/>
  <c r="BQ38" i="2"/>
  <c r="BG69" i="2"/>
  <c r="BG75" i="2" s="1"/>
  <c r="BR38" i="2"/>
  <c r="BV29" i="2"/>
  <c r="CE29" i="2" s="1"/>
  <c r="BM63" i="2"/>
  <c r="BQ41" i="2"/>
  <c r="BW41" i="2" s="1"/>
  <c r="BM37" i="2"/>
  <c r="BQ24" i="2"/>
  <c r="BH37" i="2"/>
  <c r="BH69" i="2"/>
  <c r="BH75" i="2" s="1"/>
  <c r="BR24" i="2"/>
  <c r="BR36" i="2" s="1"/>
  <c r="BQ36" i="2" l="1"/>
  <c r="BQ37" i="2" s="1"/>
  <c r="BW24" i="2"/>
  <c r="CE38" i="2"/>
  <c r="CI29" i="2"/>
  <c r="CR29" i="2" s="1"/>
  <c r="E29" i="11" s="1"/>
  <c r="BW63" i="2"/>
  <c r="CD41" i="2"/>
  <c r="CR41" i="2" s="1"/>
  <c r="CD38" i="2"/>
  <c r="CL29" i="2"/>
  <c r="BV38" i="2"/>
  <c r="BV24" i="2"/>
  <c r="BM69" i="2"/>
  <c r="BM75" i="2" s="1"/>
  <c r="BL37" i="2"/>
  <c r="BL69" i="2"/>
  <c r="BL75" i="2" s="1"/>
  <c r="BQ63" i="2"/>
  <c r="E36" i="11"/>
  <c r="CL38" i="2" l="1"/>
  <c r="CN29" i="2"/>
  <c r="CN38" i="2" s="1"/>
  <c r="CO29" i="2"/>
  <c r="CO38" i="2" s="1"/>
  <c r="CD24" i="2"/>
  <c r="BW36" i="2"/>
  <c r="BW37" i="2" s="1"/>
  <c r="CI38" i="2"/>
  <c r="CR38" i="2" s="1"/>
  <c r="CM29" i="2"/>
  <c r="CM38" i="2" s="1"/>
  <c r="BV36" i="2"/>
  <c r="CE24" i="2"/>
  <c r="CD63" i="2"/>
  <c r="CR63" i="2" s="1"/>
  <c r="CL41" i="2"/>
  <c r="CP41" i="2" s="1"/>
  <c r="D18" i="13" s="1"/>
  <c r="BQ69" i="2"/>
  <c r="BQ75" i="2" s="1"/>
  <c r="BR37" i="2"/>
  <c r="BR69" i="2"/>
  <c r="BR75" i="2" s="1"/>
  <c r="CP38" i="2" l="1"/>
  <c r="G18" i="13"/>
  <c r="G39" i="13" s="1"/>
  <c r="F18" i="13"/>
  <c r="F39" i="13" s="1"/>
  <c r="CL63" i="2"/>
  <c r="CP63" i="2" s="1"/>
  <c r="CP29" i="2"/>
  <c r="D10" i="13" s="1"/>
  <c r="BW69" i="2"/>
  <c r="BW75" i="2" s="1"/>
  <c r="CI24" i="2"/>
  <c r="CR24" i="2" s="1"/>
  <c r="E24" i="11" s="1"/>
  <c r="CE36" i="2"/>
  <c r="CD36" i="2"/>
  <c r="CL24" i="2"/>
  <c r="K39" i="13"/>
  <c r="J39" i="13"/>
  <c r="I39" i="13"/>
  <c r="L39" i="13"/>
  <c r="H39" i="13"/>
  <c r="D39" i="13"/>
  <c r="BV37" i="2"/>
  <c r="BV69" i="2"/>
  <c r="BV75" i="2" s="1"/>
  <c r="I10" i="13" l="1"/>
  <c r="I51" i="13" s="1"/>
  <c r="H10" i="13"/>
  <c r="H51" i="13" s="1"/>
  <c r="K10" i="13"/>
  <c r="K51" i="13" s="1"/>
  <c r="J10" i="13"/>
  <c r="J51" i="13" s="1"/>
  <c r="CN24" i="2"/>
  <c r="CN36" i="2" s="1"/>
  <c r="CO24" i="2"/>
  <c r="CO36" i="2" s="1"/>
  <c r="G10" i="13"/>
  <c r="G51" i="13" s="1"/>
  <c r="F10" i="13"/>
  <c r="F51" i="13" s="1"/>
  <c r="D51" i="13"/>
  <c r="CD37" i="2"/>
  <c r="CE37" i="2"/>
  <c r="CE69" i="2"/>
  <c r="CE75" i="2" s="1"/>
  <c r="CI36" i="2"/>
  <c r="CI69" i="2" s="1"/>
  <c r="CI75" i="2" s="1"/>
  <c r="CM24" i="2"/>
  <c r="CM36" i="2" s="1"/>
  <c r="CL36" i="2"/>
  <c r="CD69" i="2"/>
  <c r="CP24" i="2" l="1"/>
  <c r="CO37" i="2"/>
  <c r="CO69" i="2"/>
  <c r="CO75" i="2" s="1"/>
  <c r="CN69" i="2"/>
  <c r="CN75" i="2" s="1"/>
  <c r="CN37" i="2"/>
  <c r="E54" i="14"/>
  <c r="E65" i="14"/>
  <c r="E61" i="14"/>
  <c r="E57" i="14"/>
  <c r="E53" i="14"/>
  <c r="E49" i="14"/>
  <c r="E64" i="14"/>
  <c r="E60" i="14"/>
  <c r="E56" i="14"/>
  <c r="E52" i="14"/>
  <c r="E48" i="14"/>
  <c r="E63" i="14"/>
  <c r="E59" i="14"/>
  <c r="E55" i="14"/>
  <c r="E51" i="14"/>
  <c r="E47" i="14"/>
  <c r="E66" i="14"/>
  <c r="E62" i="14"/>
  <c r="E58" i="14"/>
  <c r="E50" i="14"/>
  <c r="L16" i="13"/>
  <c r="L50" i="13" s="1"/>
  <c r="L52" i="13" s="1"/>
  <c r="CR36" i="2"/>
  <c r="CD75" i="2"/>
  <c r="CR75" i="2" s="1"/>
  <c r="CR69" i="2"/>
  <c r="CP36" i="2"/>
  <c r="CP69" i="2" s="1"/>
  <c r="CP75" i="2" s="1"/>
  <c r="D5" i="13"/>
  <c r="CI37" i="2"/>
  <c r="CR37" i="2" s="1"/>
  <c r="CL37" i="2"/>
  <c r="CL69" i="2"/>
  <c r="CL75" i="2" s="1"/>
  <c r="CM37" i="2"/>
  <c r="CM69" i="2"/>
  <c r="CM75" i="2" s="1"/>
  <c r="H5" i="13" l="1"/>
  <c r="H16" i="13" s="1"/>
  <c r="H50" i="13" s="1"/>
  <c r="H52" i="13" s="1"/>
  <c r="I5" i="13"/>
  <c r="I16" i="13" s="1"/>
  <c r="I50" i="13" s="1"/>
  <c r="I52" i="13" s="1"/>
  <c r="J5" i="13"/>
  <c r="J16" i="13" s="1"/>
  <c r="J50" i="13" s="1"/>
  <c r="J52" i="13" s="1"/>
  <c r="K5" i="13"/>
  <c r="K16" i="13" s="1"/>
  <c r="K50" i="13" s="1"/>
  <c r="K52" i="13" s="1"/>
  <c r="G5" i="13"/>
  <c r="G16" i="13" s="1"/>
  <c r="G50" i="13" s="1"/>
  <c r="G52" i="13" s="1"/>
  <c r="F5" i="13"/>
  <c r="F16" i="13" s="1"/>
  <c r="F50" i="13" s="1"/>
  <c r="E20" i="14" s="1"/>
  <c r="F20" i="14" s="1"/>
  <c r="D16" i="13"/>
  <c r="F50" i="14"/>
  <c r="F57" i="14"/>
  <c r="F65" i="14"/>
  <c r="F53" i="14"/>
  <c r="F52" i="14"/>
  <c r="F60" i="14"/>
  <c r="F63" i="14"/>
  <c r="F56" i="14"/>
  <c r="F61" i="14"/>
  <c r="F66" i="14"/>
  <c r="F62" i="14"/>
  <c r="F64" i="14"/>
  <c r="F59" i="14"/>
  <c r="F55" i="14"/>
  <c r="F51" i="14"/>
  <c r="F58" i="14"/>
  <c r="F54" i="14"/>
  <c r="F49" i="14"/>
  <c r="F48" i="14"/>
  <c r="CP37" i="2"/>
  <c r="F52" i="13" l="1"/>
  <c r="E24" i="14"/>
  <c r="F24" i="14" s="1"/>
  <c r="E23" i="14"/>
  <c r="F23" i="14" s="1"/>
  <c r="E21" i="14"/>
  <c r="F21" i="14" s="1"/>
  <c r="E35" i="14"/>
  <c r="F35" i="14" s="1"/>
  <c r="E32" i="14"/>
  <c r="F32" i="14" s="1"/>
  <c r="E34" i="14"/>
  <c r="F34" i="14" s="1"/>
  <c r="E39" i="14"/>
  <c r="F39" i="14" s="1"/>
  <c r="E33" i="14"/>
  <c r="F33" i="14" s="1"/>
  <c r="E27" i="14"/>
  <c r="F27" i="14" s="1"/>
  <c r="E28" i="14"/>
  <c r="F28" i="14" s="1"/>
  <c r="E37" i="14"/>
  <c r="F37" i="14" s="1"/>
  <c r="E25" i="14"/>
  <c r="F25" i="14" s="1"/>
  <c r="E26" i="14"/>
  <c r="F26" i="14" s="1"/>
  <c r="E31" i="14"/>
  <c r="F31" i="14" s="1"/>
  <c r="E36" i="14"/>
  <c r="F36" i="14" s="1"/>
  <c r="E29" i="14"/>
  <c r="F29" i="14" s="1"/>
  <c r="E30" i="14"/>
  <c r="F30" i="14" s="1"/>
  <c r="E22" i="14"/>
  <c r="F22" i="14" s="1"/>
  <c r="E38" i="14"/>
  <c r="F38" i="14" s="1"/>
  <c r="D50" i="13"/>
  <c r="D52" i="13" s="1"/>
  <c r="E67" i="14"/>
  <c r="F47" i="14"/>
  <c r="E40" i="14" l="1"/>
</calcChain>
</file>

<file path=xl/sharedStrings.xml><?xml version="1.0" encoding="utf-8"?>
<sst xmlns="http://schemas.openxmlformats.org/spreadsheetml/2006/main" count="452" uniqueCount="316">
  <si>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</si>
  <si>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</si>
  <si>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</si>
  <si>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</si>
  <si>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</si>
  <si>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</si>
  <si>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</si>
  <si>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</si>
  <si>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</si>
  <si>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</si>
  <si>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</si>
  <si>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</si>
  <si>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</si>
  <si>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</si>
  <si>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</si>
  <si>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</si>
  <si>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</si>
  <si>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</si>
  <si>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</si>
  <si>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</si>
  <si>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</si>
  <si>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</si>
  <si>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</si>
  <si>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</si>
  <si>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</si>
  <si>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</si>
  <si>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</si>
  <si>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</si>
  <si>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</si>
  <si>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</si>
  <si>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</si>
  <si>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</si>
  <si>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</si>
  <si>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</si>
  <si>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</si>
  <si>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</si>
  <si>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</si>
  <si>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</si>
  <si>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</si>
  <si>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</si>
  <si>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</si>
  <si>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</si>
  <si>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</si>
  <si>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</si>
  <si>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</si>
  <si>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</si>
  <si>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</si>
  <si>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</si>
  <si>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</si>
  <si>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</si>
  <si>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</si>
  <si>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</si>
  <si>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</si>
  <si>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</si>
  <si>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</si>
  <si>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</si>
  <si>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</si>
  <si>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</si>
  <si>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</si>
  <si>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</si>
  <si>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</si>
  <si>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</si>
  <si>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</si>
  <si>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</si>
  <si>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</si>
  <si>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</si>
  <si>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</si>
  <si>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</si>
  <si>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</si>
  <si>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</si>
  <si>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</si>
  <si>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</si>
  <si>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</si>
  <si>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</si>
  <si>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</si>
  <si>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</si>
  <si>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</si>
  <si>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</si>
  <si>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</si>
  <si>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</si>
  <si>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</si>
  <si>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</si>
  <si>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</si>
  <si>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</si>
  <si>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</si>
  <si>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</si>
  <si>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</si>
  <si>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</si>
  <si>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</si>
  <si>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</si>
  <si>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</si>
  <si>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</si>
  <si>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</si>
  <si>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</si>
  <si>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</si>
  <si>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</si>
  <si>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</si>
  <si>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</si>
  <si>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</si>
  <si>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</si>
  <si>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</si>
  <si>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</si>
  <si>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</si>
  <si>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</si>
  <si>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</si>
  <si>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</si>
  <si>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</si>
  <si>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Other Regulatory Assets - Sub-Account - Financial Assistance Payment and Recovery Variance - Ontario Clean Energy Benefit Act</t>
    </r>
    <r>
      <rPr>
        <vertAlign val="superscript"/>
        <sz val="11"/>
        <rFont val="Arial"/>
        <family val="2"/>
      </rPr>
      <t>8</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</si>
  <si>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</si>
  <si>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</si>
  <si>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</si>
  <si>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</si>
  <si>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</si>
  <si>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</si>
  <si>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</si>
  <si>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</si>
  <si>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</si>
  <si>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</si>
  <si>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</si>
  <si>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</si>
  <si>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</si>
  <si>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</si>
  <si>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</si>
  <si>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</si>
  <si>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</si>
  <si>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</si>
  <si>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</si>
  <si>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</si>
  <si>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</si>
  <si>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</si>
  <si>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</si>
  <si>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</si>
  <si>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</si>
  <si>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</si>
  <si>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</si>
  <si>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</si>
  <si>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</si>
  <si>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</si>
  <si>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</si>
  <si>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</si>
  <si>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</si>
  <si>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</si>
  <si>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</si>
  <si>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</si>
  <si>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</si>
  <si>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</si>
  <si>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</si>
  <si>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</si>
  <si>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</si>
  <si>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</si>
  <si>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</si>
  <si>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</si>
  <si>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</si>
  <si>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</si>
  <si>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</si>
  <si>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</si>
  <si>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</si>
  <si>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</si>
  <si>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</si>
  <si>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</si>
  <si>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</si>
  <si>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</si>
  <si>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</si>
  <si>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</si>
  <si>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</si>
  <si>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</si>
  <si>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</si>
  <si>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</si>
  <si>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</si>
  <si>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</si>
  <si>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</si>
  <si>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</si>
  <si>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</si>
  <si>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Include Account 1595 as part of Group 1 accounts (lines 31, 32, 33 and 34) for review and disposition if the recovery (or refund) period has been completed. If the recovery (or refund) period has not been completed, include the</t>
  </si>
  <si>
    <t>Opening Principal Amounts as of Jan-1-12</t>
  </si>
  <si>
    <r>
      <t xml:space="preserve">Transactions Debit / (Credit) during 2012 excluding interest and adjustments </t>
    </r>
    <r>
      <rPr>
        <b/>
        <vertAlign val="superscript"/>
        <sz val="10"/>
        <rFont val="Book Antiqua"/>
        <family val="1"/>
      </rPr>
      <t>3</t>
    </r>
  </si>
  <si>
    <t>Board-Approved Disposition during 2012</t>
  </si>
  <si>
    <r>
      <t xml:space="preserve">Other </t>
    </r>
    <r>
      <rPr>
        <b/>
        <vertAlign val="superscript"/>
        <sz val="10"/>
        <rFont val="Book Antiqua"/>
        <family val="1"/>
      </rPr>
      <t xml:space="preserve">2 </t>
    </r>
    <r>
      <rPr>
        <b/>
        <sz val="10"/>
        <rFont val="Book Antiqua"/>
        <family val="1"/>
      </rPr>
      <t>Adjustments during Q1 2012</t>
    </r>
  </si>
  <si>
    <r>
      <t xml:space="preserve">Other </t>
    </r>
    <r>
      <rPr>
        <b/>
        <vertAlign val="superscript"/>
        <sz val="10"/>
        <rFont val="Book Antiqua"/>
        <family val="1"/>
      </rPr>
      <t xml:space="preserve">2 </t>
    </r>
    <r>
      <rPr>
        <b/>
        <sz val="10"/>
        <rFont val="Book Antiqua"/>
        <family val="1"/>
      </rPr>
      <t>Adjustments during Q2 2012</t>
    </r>
  </si>
  <si>
    <r>
      <t xml:space="preserve">Other </t>
    </r>
    <r>
      <rPr>
        <b/>
        <vertAlign val="superscript"/>
        <sz val="10"/>
        <rFont val="Book Antiqua"/>
        <family val="1"/>
      </rPr>
      <t xml:space="preserve">2 </t>
    </r>
    <r>
      <rPr>
        <b/>
        <sz val="10"/>
        <rFont val="Book Antiqua"/>
        <family val="1"/>
      </rPr>
      <t>Adjustments during Q3 2012</t>
    </r>
  </si>
  <si>
    <r>
      <t xml:space="preserve">Other </t>
    </r>
    <r>
      <rPr>
        <b/>
        <vertAlign val="superscript"/>
        <sz val="10"/>
        <rFont val="Book Antiqua"/>
        <family val="1"/>
      </rPr>
      <t xml:space="preserve">2 </t>
    </r>
    <r>
      <rPr>
        <b/>
        <sz val="10"/>
        <rFont val="Book Antiqua"/>
        <family val="1"/>
      </rPr>
      <t>Adjustments during Q4 2012</t>
    </r>
  </si>
  <si>
    <t>Closing Principal Balance as of Dec-31-12</t>
  </si>
  <si>
    <t>Opening Interest Amounts as of Jan-1-12</t>
  </si>
  <si>
    <t>Interest Jan-1 to Dec-31-12</t>
  </si>
  <si>
    <r>
      <t xml:space="preserve">Adjustments during 2012 - other </t>
    </r>
    <r>
      <rPr>
        <b/>
        <vertAlign val="superscript"/>
        <sz val="10"/>
        <rFont val="Book Antiqua"/>
        <family val="1"/>
      </rPr>
      <t>2</t>
    </r>
  </si>
  <si>
    <t>Closing Interest Amounts as of Dec-31-12</t>
  </si>
  <si>
    <t>Principal Disposition during 2013 - instructed by Board</t>
  </si>
  <si>
    <t>Interest Disposition during 2013 - instructed by Board</t>
  </si>
  <si>
    <t>Closing Principal Balances as of Dec 31-12 Adjusted for Dispositions during 2013</t>
  </si>
  <si>
    <t>Closing Interest Balances as of Dec 31-12 Adjusted for Dispositions during 2013</t>
  </si>
  <si>
    <r>
      <t xml:space="preserve">Projected Interest from Jan 1, 2013 to December 31, 2013 on                        Dec 31 -12 balance adjusted for disposition during 2013 </t>
    </r>
    <r>
      <rPr>
        <b/>
        <vertAlign val="superscript"/>
        <sz val="10"/>
        <rFont val="Book Antiqua"/>
        <family val="1"/>
      </rPr>
      <t>6</t>
    </r>
  </si>
  <si>
    <r>
      <t xml:space="preserve">Projected Interest from January 1, 2014 to April 30, 2014 on Dec 31 -12 balance adjusted for disposition during 2013  </t>
    </r>
    <r>
      <rPr>
        <b/>
        <vertAlign val="superscript"/>
        <sz val="11"/>
        <rFont val="Book Antiqua"/>
        <family val="1"/>
      </rPr>
      <t>6</t>
    </r>
  </si>
  <si>
    <t>Projected Interest on Dec-31-12 Balances</t>
  </si>
  <si>
    <t>As of Dec 31-12</t>
  </si>
  <si>
    <r>
      <t xml:space="preserve">Variance                           RRR vs. 2012 Balance                        </t>
    </r>
    <r>
      <rPr>
        <b/>
        <i/>
        <sz val="10"/>
        <rFont val="Book Antiqua"/>
        <family val="1"/>
      </rPr>
      <t>(Principal + Interest)</t>
    </r>
  </si>
  <si>
    <t>Total Balance Allocated to each class (excluding 1589)</t>
  </si>
  <si>
    <t>Total Balance Allocated to each class (including 1589)</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</si>
  <si>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</si>
  <si>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</si>
  <si>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</si>
  <si>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</si>
  <si>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</si>
  <si>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</si>
  <si>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Total Balance Allocated to each class from Account 1589</t>
  </si>
  <si>
    <t>Allocated Balance (excluding 1589)</t>
  </si>
  <si>
    <t>Total Balance Allocated to each class for Accounts 1575 and 1576</t>
  </si>
  <si>
    <t>Rate Rider Calculation for Accounts 1575 and 1576</t>
  </si>
  <si>
    <t>Balance of Accounts 1575 and 1576</t>
  </si>
  <si>
    <t>Rate Rider for Accounts 1575 and 1576</t>
  </si>
  <si>
    <t>The Board requires that disposition of Account 1575 and Account 1576 shall require the use of separate rate riders. In the "Other Adjustments during Q4 2012"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</si>
  <si>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t>Algoma Power Inc.</t>
  </si>
  <si>
    <t>Atikokan Hydro Inc.</t>
  </si>
  <si>
    <t xml:space="preserve">Attawapiskat Power Corp. </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</si>
  <si>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</si>
  <si>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</si>
  <si>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</si>
  <si>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</si>
  <si>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</si>
  <si>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</si>
  <si>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</si>
  <si>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</si>
  <si>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Clinton Power Corporation</t>
  </si>
  <si>
    <t>COLLUS Power Corporation</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</si>
  <si>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</si>
  <si>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</si>
  <si>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</si>
  <si>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</si>
  <si>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</si>
  <si>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</si>
  <si>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</si>
  <si>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</si>
  <si>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</si>
  <si>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</si>
  <si>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</si>
  <si>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</si>
  <si>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</si>
  <si>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</si>
  <si>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</si>
  <si>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</si>
  <si>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</si>
  <si>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</si>
  <si>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</si>
  <si>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</si>
  <si>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</si>
  <si>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</si>
  <si>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</si>
  <si>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</si>
  <si>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</si>
  <si>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</si>
  <si>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</si>
  <si>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</si>
  <si>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</si>
  <si>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</si>
  <si>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</si>
  <si>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</si>
  <si>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</si>
  <si>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</si>
  <si>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</si>
  <si>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</si>
  <si>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</si>
  <si>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</si>
  <si>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</si>
  <si>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</si>
  <si>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</si>
  <si>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</si>
  <si>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</si>
  <si>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</si>
  <si>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</si>
  <si>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</si>
  <si>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</si>
  <si>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</si>
  <si>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</si>
  <si>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</si>
  <si>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</si>
  <si>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</si>
  <si>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</si>
  <si>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</si>
  <si>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</si>
  <si>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</si>
  <si>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</si>
  <si>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</si>
  <si>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</si>
  <si>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</si>
  <si>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</si>
  <si>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 Perth Power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</si>
  <si>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</si>
  <si>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</si>
  <si>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</si>
  <si>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</si>
  <si>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</si>
  <si>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</si>
  <si>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</si>
  <si>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</si>
  <si>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</si>
  <si>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</si>
  <si>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</si>
  <si>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</si>
  <si>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t>EB-2013-0134</t>
  </si>
  <si>
    <t>905-765-5211  ext.2237</t>
  </si>
  <si>
    <t>jscott@hchydro.ca</t>
  </si>
  <si>
    <t>Residential</t>
  </si>
  <si>
    <t>General Service Less Than 50 kW</t>
  </si>
  <si>
    <t>General Service 50 to 4,999 kW</t>
  </si>
  <si>
    <t>Sentinel Lighting</t>
  </si>
  <si>
    <t>Street Lighting</t>
  </si>
  <si>
    <t>Unmetered Scattered Load</t>
  </si>
  <si>
    <t>kWh</t>
  </si>
  <si>
    <t>kW</t>
  </si>
  <si>
    <t>Non-RPP kWh</t>
  </si>
  <si>
    <t>Distribution Rev.</t>
  </si>
  <si>
    <t>Jacqueline A. Scott, Finance Manager</t>
  </si>
  <si>
    <t>Sub-account 1592 and its contra sub-account 1592 net to zero on RRR filings.  Also, column "Adjustment during 2012 - Other" includes activity for period January 1, 2013 through to April 30, 2014.</t>
  </si>
  <si>
    <t>Sub-account 1592 and its contra sub-account 1592 net to zero on RRR filings.  Also, column "Adjustment during 2012 - Other" includes activity for period January 1, 2013 through to April 30, 2014. (Represents 50% Customer share)</t>
  </si>
  <si>
    <t>Useful lives adjustment completed Jan.1/13 resulted in a reduction to net depreciation of $(1,459,184) booked to a/c 1576. Return calculated at 5.75% is $(419,515) also included in the calculation of the rate rider but not booked to a/c 1576.</t>
  </si>
  <si>
    <t>The LRAM on account of 2011 programs in 2011, persistence into 2012, and 2012 programs in 2012 was booked into variance account 1568 in 2013.</t>
  </si>
  <si>
    <t>Billing adjustment completed July 2013 on account of 2011 attracted the credit rate rider to the customer from rates effective May 1, 2011.  To be included in disposition of balance in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</si>
</sst>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0.00;[Red]\-&quot;$&quot;#,##0.00"/>
    <numFmt numFmtId="44" formatCode="_-&quot;$&quot;* #,##0.00_-;\-&quot;$&quot;* #,##0.00_-;_-&quot;$&quot;* &quot;-&quot;??_-;_-@_-"/>
    <numFmt numFmtId="43" formatCode="_-* #,##0.00_-;\-* #,##0.00_-;_-* &quot;-&quot;??_-;_-@_-"/>
    <numFmt numFmtId="164" formatCode="&quot;$&quot;#,##0_);\(&quot;$&quot;#,##0\)"/>
    <numFmt numFmtId="165" formatCode="_(* #,##0.0_);_(* \(#,##0.0\);_(* &quot;-&quot;??_);_(@_)"/>
    <numFmt numFmtId="166" formatCode="_(* #,##0_);_(* \(#,##0\);_(* &quot;-&quot;??_);_(@_)"/>
    <numFmt numFmtId="167" formatCode="&quot;£ &quot;#,##0.00;[Red]\-&quot;£ &quot;#,##0.00"/>
    <numFmt numFmtId="168" formatCode="#,##0.0"/>
    <numFmt numFmtId="169" formatCode="##\-#"/>
    <numFmt numFmtId="170" formatCode="mm/dd/yyyy"/>
    <numFmt numFmtId="171" formatCode="0\-0"/>
    <numFmt numFmtId="172" formatCode="_-&quot;$&quot;* #,##0_-;\-&quot;$&quot;* #,##0_-;_-&quot;$&quot;* &quot;-&quot;??_-;_-@_-"/>
    <numFmt numFmtId="173" formatCode="_(&quot;$&quot;* #,##0.00_);_(&quot;$&quot;* \(#,##0.00\);_(&quot;$&quot;* &quot;-&quot;??_);_(@_)"/>
    <numFmt numFmtId="174" formatCode="0.0"/>
    <numFmt numFmtId="175" formatCode="#,##0;[Red]\(#,##0\)"/>
    <numFmt numFmtId="176" formatCode="_-* #,##0_-;\-* #,##0_-;_-* &quot;-&quot;??_-;_-@_-"/>
    <numFmt numFmtId="177" formatCode="_-* #,##0.0000_-;\-* #,##0.0000_-;_-* &quot;-&quot;??_-;_-@_-"/>
  </numFmts>
  <fonts count="54"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1"/>
      <color indexed="8"/>
      <name val="Calibri"/>
      <family val="2"/>
    </font>
    <font>
      <u/>
      <sz val="10"/>
      <color theme="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9"/>
      </left>
      <right style="medium">
        <color indexed="64"/>
      </right>
      <top style="medium">
        <color indexed="9"/>
      </top>
      <bottom/>
      <diagonal/>
    </border>
    <border>
      <left/>
      <right style="medium">
        <color indexed="9"/>
      </right>
      <top style="medium">
        <color indexed="9"/>
      </top>
      <bottom/>
      <diagonal/>
    </border>
    <border>
      <left style="medium">
        <color indexed="64"/>
      </left>
      <right style="medium">
        <color indexed="64"/>
      </right>
      <top style="medium">
        <color indexed="9"/>
      </top>
      <bottom/>
      <diagonal/>
    </border>
    <border>
      <left style="medium">
        <color indexed="9"/>
      </left>
      <right style="medium">
        <color indexed="64"/>
      </right>
      <top/>
      <bottom style="medium">
        <color indexed="9"/>
      </bottom>
      <diagonal/>
    </border>
  </borders>
  <cellStyleXfs count="73">
    <xf numFmtId="0" fontId="0" fillId="0" borderId="0"/>
    <xf numFmtId="165" fontId="3" fillId="0" borderId="0"/>
    <xf numFmtId="168" fontId="3" fillId="0" borderId="0"/>
    <xf numFmtId="170" fontId="3" fillId="0" borderId="0"/>
    <xf numFmtId="171"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164"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69" fontId="3" fillId="0" borderId="0"/>
    <xf numFmtId="166" fontId="3" fillId="0" borderId="0"/>
    <xf numFmtId="0" fontId="30" fillId="24" borderId="0" applyNumberFormat="0" applyBorder="0" applyAlignment="0" applyProtection="0"/>
    <xf numFmtId="167"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2" fillId="0" borderId="0"/>
    <xf numFmtId="165" fontId="3" fillId="0" borderId="0"/>
    <xf numFmtId="165" fontId="3" fillId="0" borderId="0"/>
    <xf numFmtId="165" fontId="3" fillId="0" borderId="0"/>
    <xf numFmtId="165" fontId="3" fillId="0" borderId="0"/>
    <xf numFmtId="170"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52" fillId="0" borderId="0"/>
    <xf numFmtId="0" fontId="53" fillId="0" borderId="0" applyNumberFormat="0" applyFill="0" applyBorder="0" applyAlignment="0" applyProtection="0"/>
  </cellStyleXfs>
  <cellXfs count="288">
    <xf numFmtId="0" fontId="0" fillId="0" borderId="0" xfId="0"/>
    <xf numFmtId="0" fontId="0" fillId="0" borderId="0" xfId="0" applyProtection="1"/>
    <xf numFmtId="0" fontId="6" fillId="0" borderId="0" xfId="0" applyFont="1" applyProtection="1"/>
    <xf numFmtId="0" fontId="17" fillId="0" borderId="0" xfId="0" applyFont="1" applyProtection="1"/>
    <xf numFmtId="0" fontId="5" fillId="0" borderId="0" xfId="0" applyFont="1" applyProtection="1"/>
    <xf numFmtId="0" fontId="4" fillId="0" borderId="0" xfId="0" applyFont="1" applyProtection="1"/>
    <xf numFmtId="0" fontId="4" fillId="0" borderId="0" xfId="0" applyFont="1" applyBorder="1" applyProtection="1"/>
    <xf numFmtId="0" fontId="0" fillId="0" borderId="10" xfId="0" applyBorder="1" applyProtection="1"/>
    <xf numFmtId="0" fontId="4" fillId="0" borderId="0" xfId="0" applyFont="1" applyAlignment="1" applyProtection="1">
      <alignment horizontal="center"/>
    </xf>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5" fillId="0" borderId="0" xfId="0" applyFont="1" applyFill="1" applyBorder="1" applyProtection="1"/>
    <xf numFmtId="0" fontId="10" fillId="0" borderId="0" xfId="0" applyFont="1" applyProtection="1"/>
    <xf numFmtId="0" fontId="11" fillId="0" borderId="0" xfId="0" applyFont="1" applyProtection="1"/>
    <xf numFmtId="0" fontId="10" fillId="0" borderId="0" xfId="0" applyFont="1" applyAlignment="1" applyProtection="1">
      <alignment horizontal="right"/>
    </xf>
    <xf numFmtId="0" fontId="34" fillId="0" borderId="0" xfId="0" applyFont="1" applyAlignment="1" applyProtection="1">
      <alignment vertical="center"/>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6" xfId="0" applyBorder="1" applyProtection="1"/>
    <xf numFmtId="0" fontId="16" fillId="0" borderId="17" xfId="0" applyFont="1" applyBorder="1" applyAlignment="1" applyProtection="1"/>
    <xf numFmtId="173" fontId="0" fillId="0" borderId="15"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0" fontId="0" fillId="0" borderId="37" xfId="0" applyBorder="1" applyAlignment="1" applyProtection="1">
      <alignment horizontal="left" vertical="top" wrapText="1"/>
      <protection locked="0"/>
    </xf>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39" xfId="0" applyBorder="1" applyAlignment="1" applyProtection="1">
      <alignment horizontal="left" vertical="top" wrapText="1"/>
      <protection locked="0"/>
    </xf>
    <xf numFmtId="0" fontId="0" fillId="0" borderId="10" xfId="0" applyBorder="1" applyProtection="1">
      <protection locked="0"/>
    </xf>
    <xf numFmtId="0" fontId="0" fillId="0" borderId="40" xfId="0"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0" fillId="0" borderId="0" xfId="59" applyFont="1" applyProtection="1"/>
    <xf numFmtId="174" fontId="41" fillId="0" borderId="0" xfId="59" applyNumberFormat="1" applyFont="1" applyAlignment="1" applyProtection="1">
      <alignment horizontal="left"/>
    </xf>
    <xf numFmtId="0" fontId="42"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2" fillId="0" borderId="0" xfId="59" applyFont="1" applyAlignment="1" applyProtection="1">
      <alignment horizontal="right" vertical="center" indent="1"/>
    </xf>
    <xf numFmtId="0" fontId="43" fillId="0" borderId="0" xfId="59" applyFont="1" applyProtection="1"/>
    <xf numFmtId="0" fontId="43" fillId="0" borderId="0" xfId="59" applyFont="1" applyAlignment="1" applyProtection="1">
      <alignment horizontal="right" vertical="center"/>
    </xf>
    <xf numFmtId="0" fontId="45"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0" fontId="8" fillId="0" borderId="0" xfId="0" applyFont="1" applyAlignment="1" applyProtection="1">
      <alignment vertical="center"/>
    </xf>
    <xf numFmtId="0" fontId="3" fillId="0" borderId="0" xfId="0" applyFont="1"/>
    <xf numFmtId="0" fontId="6" fillId="0" borderId="0" xfId="0" applyFont="1"/>
    <xf numFmtId="0" fontId="12" fillId="0" borderId="10" xfId="59" applyFont="1" applyBorder="1" applyAlignment="1" applyProtection="1">
      <alignment horizontal="center"/>
    </xf>
    <xf numFmtId="0" fontId="12" fillId="0" borderId="0" xfId="59" applyFont="1" applyBorder="1" applyProtection="1"/>
    <xf numFmtId="0" fontId="12" fillId="0" borderId="0" xfId="59" applyFont="1" applyBorder="1" applyAlignment="1" applyProtection="1">
      <alignment horizontal="center"/>
    </xf>
    <xf numFmtId="0" fontId="0" fillId="0" borderId="4" xfId="0" applyBorder="1"/>
    <xf numFmtId="0" fontId="6" fillId="0" borderId="4" xfId="0" applyFont="1" applyBorder="1"/>
    <xf numFmtId="172" fontId="6" fillId="0" borderId="4" xfId="57" applyNumberFormat="1" applyFont="1" applyBorder="1"/>
    <xf numFmtId="0" fontId="7" fillId="0" borderId="0" xfId="0" applyFont="1" applyAlignment="1">
      <alignment horizontal="right" indent="1"/>
    </xf>
    <xf numFmtId="172" fontId="7" fillId="0" borderId="0" xfId="57" applyNumberFormat="1" applyFont="1" applyAlignment="1">
      <alignment horizontal="right" indent="1"/>
    </xf>
    <xf numFmtId="172" fontId="7" fillId="0" borderId="0" xfId="0" applyNumberFormat="1" applyFont="1" applyAlignment="1">
      <alignment horizontal="right" indent="1"/>
    </xf>
    <xf numFmtId="0" fontId="6" fillId="0" borderId="58" xfId="0" applyFont="1" applyBorder="1" applyAlignment="1">
      <alignment horizontal="center" vertical="center"/>
    </xf>
    <xf numFmtId="0" fontId="6" fillId="0" borderId="58"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5" fontId="3" fillId="0" borderId="4" xfId="57" applyNumberFormat="1" applyFont="1" applyBorder="1" applyAlignment="1" applyProtection="1">
      <alignment horizontal="center" vertical="center"/>
    </xf>
    <xf numFmtId="0" fontId="3" fillId="0" borderId="4" xfId="0" applyFont="1" applyBorder="1" applyAlignment="1" applyProtection="1"/>
    <xf numFmtId="0" fontId="3" fillId="0" borderId="4" xfId="0" applyFont="1" applyBorder="1" applyAlignment="1" applyProtection="1">
      <alignment horizontal="left"/>
    </xf>
    <xf numFmtId="0" fontId="6" fillId="0" borderId="0" xfId="0" applyFont="1" applyAlignment="1" applyProtection="1"/>
    <xf numFmtId="172" fontId="6" fillId="0" borderId="0" xfId="57" applyNumberFormat="1" applyFont="1" applyAlignment="1" applyProtection="1"/>
    <xf numFmtId="0" fontId="3" fillId="0" borderId="4" xfId="0" applyFont="1" applyBorder="1" applyAlignment="1" applyProtection="1">
      <alignment wrapText="1"/>
    </xf>
    <xf numFmtId="0" fontId="3" fillId="0" borderId="0" xfId="0" applyFont="1" applyBorder="1"/>
    <xf numFmtId="0" fontId="6" fillId="0" borderId="0" xfId="0" applyFont="1" applyBorder="1" applyProtection="1"/>
    <xf numFmtId="0" fontId="3" fillId="0" borderId="0" xfId="0" applyFont="1" applyBorder="1" applyAlignment="1" applyProtection="1">
      <alignment horizontal="center"/>
    </xf>
    <xf numFmtId="175" fontId="3" fillId="0" borderId="0" xfId="57" applyNumberFormat="1" applyFont="1" applyBorder="1" applyAlignment="1" applyProtection="1">
      <alignment horizontal="center" vertical="center"/>
    </xf>
    <xf numFmtId="0" fontId="3" fillId="0" borderId="0" xfId="0" applyFont="1" applyBorder="1" applyProtection="1"/>
    <xf numFmtId="172" fontId="3" fillId="0" borderId="0" xfId="57" applyNumberFormat="1" applyFont="1" applyBorder="1" applyProtection="1"/>
    <xf numFmtId="172" fontId="3" fillId="0" borderId="0" xfId="57" applyNumberFormat="1" applyFont="1"/>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6" fillId="0" borderId="0" xfId="0" applyFont="1" applyAlignment="1" applyProtection="1">
      <alignment vertical="center"/>
    </xf>
    <xf numFmtId="0" fontId="6" fillId="31" borderId="4" xfId="0" applyFont="1" applyFill="1" applyBorder="1" applyProtection="1"/>
    <xf numFmtId="175" fontId="6" fillId="31" borderId="4" xfId="57" applyNumberFormat="1" applyFont="1" applyFill="1" applyBorder="1" applyAlignment="1" applyProtection="1">
      <alignment horizontal="center" vertical="center"/>
    </xf>
    <xf numFmtId="0" fontId="6" fillId="31" borderId="4" xfId="0" applyFont="1" applyFill="1" applyBorder="1" applyAlignment="1" applyProtection="1">
      <alignment horizontal="center" vertical="center"/>
    </xf>
    <xf numFmtId="3" fontId="6" fillId="0" borderId="4" xfId="0" applyNumberFormat="1" applyFont="1" applyBorder="1"/>
    <xf numFmtId="9" fontId="6" fillId="0" borderId="4" xfId="58" applyFont="1" applyBorder="1"/>
    <xf numFmtId="0" fontId="3" fillId="28" borderId="0" xfId="0" applyFont="1" applyFill="1" applyBorder="1" applyAlignment="1" applyProtection="1">
      <alignment horizontal="center" vertical="center"/>
    </xf>
    <xf numFmtId="0" fontId="3" fillId="28" borderId="4" xfId="0" applyFont="1" applyFill="1" applyBorder="1" applyAlignment="1" applyProtection="1">
      <alignment horizontal="center" vertical="center"/>
    </xf>
    <xf numFmtId="175" fontId="3" fillId="0" borderId="0" xfId="0" applyNumberFormat="1" applyFont="1" applyBorder="1" applyAlignment="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6" fontId="0" fillId="0" borderId="4" xfId="56" applyNumberFormat="1" applyFont="1" applyBorder="1" applyAlignment="1">
      <alignment horizontal="center" vertical="center"/>
    </xf>
    <xf numFmtId="172" fontId="0" fillId="0" borderId="4" xfId="57" applyNumberFormat="1" applyFont="1" applyBorder="1"/>
    <xf numFmtId="175" fontId="6" fillId="31" borderId="4" xfId="0" applyNumberFormat="1" applyFont="1" applyFill="1" applyBorder="1" applyAlignment="1" applyProtection="1">
      <alignment vertical="center"/>
    </xf>
    <xf numFmtId="175" fontId="6" fillId="28" borderId="4" xfId="57" applyNumberFormat="1" applyFont="1" applyFill="1" applyBorder="1" applyAlignment="1" applyProtection="1">
      <alignment horizontal="center" vertical="center"/>
    </xf>
    <xf numFmtId="0" fontId="6" fillId="28" borderId="4" xfId="0" applyFont="1" applyFill="1" applyBorder="1" applyAlignment="1" applyProtection="1">
      <alignment horizontal="center" vertical="center"/>
    </xf>
    <xf numFmtId="175" fontId="6" fillId="33" borderId="4" xfId="57" applyNumberFormat="1" applyFont="1" applyFill="1" applyBorder="1" applyAlignment="1" applyProtection="1">
      <alignment horizontal="center" vertical="center"/>
    </xf>
    <xf numFmtId="0" fontId="6" fillId="33" borderId="4" xfId="0" applyFont="1" applyFill="1" applyBorder="1" applyAlignment="1" applyProtection="1">
      <alignment horizontal="center" vertical="center"/>
    </xf>
    <xf numFmtId="0" fontId="6" fillId="32" borderId="4" xfId="0" applyFont="1" applyFill="1" applyBorder="1"/>
    <xf numFmtId="0" fontId="6" fillId="32" borderId="4" xfId="0" applyFont="1" applyFill="1" applyBorder="1" applyAlignment="1">
      <alignment horizontal="center" vertical="center"/>
    </xf>
    <xf numFmtId="176" fontId="6" fillId="32" borderId="4" xfId="56" applyNumberFormat="1" applyFont="1" applyFill="1" applyBorder="1" applyAlignment="1">
      <alignment horizontal="center" vertical="center"/>
    </xf>
    <xf numFmtId="172" fontId="6" fillId="32" borderId="4" xfId="57" applyNumberFormat="1" applyFont="1" applyFill="1" applyBorder="1"/>
    <xf numFmtId="177"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176" fontId="3" fillId="28" borderId="4" xfId="0" applyNumberFormat="1" applyFont="1" applyFill="1" applyBorder="1" applyAlignment="1">
      <alignment horizontal="right" vertical="center"/>
    </xf>
    <xf numFmtId="0" fontId="51" fillId="0" borderId="0" xfId="0" applyFont="1"/>
    <xf numFmtId="176" fontId="0" fillId="0" borderId="0" xfId="0" applyNumberFormat="1"/>
    <xf numFmtId="0" fontId="3" fillId="0" borderId="0" xfId="0" applyFont="1" applyProtection="1"/>
    <xf numFmtId="0" fontId="0" fillId="0" borderId="10" xfId="0" applyBorder="1" applyAlignment="1" applyProtection="1">
      <alignment horizontal="left" vertical="top" wrapText="1"/>
      <protection locked="0"/>
    </xf>
    <xf numFmtId="0" fontId="10" fillId="0" borderId="0" xfId="0" applyFont="1" applyAlignment="1" applyProtection="1">
      <alignment vertical="top"/>
    </xf>
    <xf numFmtId="0" fontId="0" fillId="0" borderId="4" xfId="0" applyFill="1" applyBorder="1"/>
    <xf numFmtId="0" fontId="52" fillId="0" borderId="4" xfId="71" applyFont="1" applyFill="1" applyBorder="1"/>
    <xf numFmtId="0" fontId="3" fillId="0" borderId="4" xfId="0" applyFont="1" applyFill="1" applyBorder="1"/>
    <xf numFmtId="8" fontId="0" fillId="0" borderId="0" xfId="0" applyNumberFormat="1" applyProtection="1"/>
    <xf numFmtId="8" fontId="4" fillId="0" borderId="9" xfId="0" applyNumberFormat="1" applyFont="1" applyBorder="1" applyProtection="1"/>
    <xf numFmtId="8" fontId="4" fillId="0" borderId="0" xfId="0" applyNumberFormat="1" applyFont="1" applyBorder="1" applyProtection="1"/>
    <xf numFmtId="8" fontId="0" fillId="0" borderId="0" xfId="0" applyNumberFormat="1" applyBorder="1" applyAlignment="1" applyProtection="1">
      <alignment wrapText="1"/>
    </xf>
    <xf numFmtId="8" fontId="5" fillId="0" borderId="10" xfId="0" applyNumberFormat="1" applyFont="1" applyBorder="1" applyAlignment="1" applyProtection="1">
      <alignment horizontal="center" vertical="center" wrapText="1"/>
    </xf>
    <xf numFmtId="8" fontId="0" fillId="0" borderId="12" xfId="0" applyNumberFormat="1" applyBorder="1" applyAlignment="1" applyProtection="1">
      <alignment wrapText="1"/>
    </xf>
    <xf numFmtId="8" fontId="0" fillId="0" borderId="18" xfId="0" applyNumberFormat="1" applyBorder="1" applyAlignment="1" applyProtection="1">
      <alignment wrapText="1"/>
    </xf>
    <xf numFmtId="8" fontId="0" fillId="0" borderId="11" xfId="0" applyNumberFormat="1" applyBorder="1" applyAlignment="1" applyProtection="1">
      <alignment wrapText="1"/>
    </xf>
    <xf numFmtId="8" fontId="0" fillId="0" borderId="0" xfId="0" applyNumberFormat="1" applyBorder="1" applyProtection="1"/>
    <xf numFmtId="8" fontId="0" fillId="0" borderId="10" xfId="0" applyNumberFormat="1" applyBorder="1" applyProtection="1"/>
    <xf numFmtId="8" fontId="0" fillId="0" borderId="15" xfId="0" applyNumberFormat="1" applyBorder="1" applyProtection="1"/>
    <xf numFmtId="8" fontId="0" fillId="0" borderId="11" xfId="0" applyNumberFormat="1" applyBorder="1" applyProtection="1"/>
    <xf numFmtId="8" fontId="4" fillId="30" borderId="19" xfId="0" applyNumberFormat="1" applyFont="1" applyFill="1" applyBorder="1" applyProtection="1">
      <protection locked="0"/>
    </xf>
    <xf numFmtId="8" fontId="4" fillId="30" borderId="20" xfId="0" applyNumberFormat="1" applyFont="1" applyFill="1" applyBorder="1" applyProtection="1">
      <protection locked="0"/>
    </xf>
    <xf numFmtId="8" fontId="4" fillId="0" borderId="0" xfId="0" applyNumberFormat="1" applyFont="1" applyFill="1" applyBorder="1" applyProtection="1"/>
    <xf numFmtId="8" fontId="4" fillId="0" borderId="10" xfId="0" applyNumberFormat="1" applyFont="1" applyFill="1" applyBorder="1" applyProtection="1"/>
    <xf numFmtId="8" fontId="4" fillId="26" borderId="19" xfId="0" applyNumberFormat="1" applyFont="1" applyFill="1" applyBorder="1" applyProtection="1"/>
    <xf numFmtId="8" fontId="4" fillId="26" borderId="20" xfId="0" applyNumberFormat="1" applyFont="1" applyFill="1" applyBorder="1" applyProtection="1"/>
    <xf numFmtId="8" fontId="4" fillId="26" borderId="38" xfId="0" applyNumberFormat="1" applyFont="1" applyFill="1" applyBorder="1" applyProtection="1"/>
    <xf numFmtId="8" fontId="4" fillId="30" borderId="21" xfId="0" applyNumberFormat="1" applyFont="1" applyFill="1" applyBorder="1" applyProtection="1">
      <protection locked="0"/>
    </xf>
    <xf numFmtId="8" fontId="4" fillId="30" borderId="22" xfId="0" applyNumberFormat="1" applyFont="1" applyFill="1" applyBorder="1" applyProtection="1">
      <protection locked="0"/>
    </xf>
    <xf numFmtId="8" fontId="4" fillId="0" borderId="9" xfId="0" applyNumberFormat="1" applyFont="1" applyFill="1" applyBorder="1" applyProtection="1"/>
    <xf numFmtId="8" fontId="4" fillId="0" borderId="15" xfId="0" applyNumberFormat="1" applyFont="1" applyFill="1" applyBorder="1" applyProtection="1"/>
    <xf numFmtId="8" fontId="4" fillId="22" borderId="19" xfId="0" applyNumberFormat="1" applyFont="1" applyFill="1" applyBorder="1" applyProtection="1"/>
    <xf numFmtId="8" fontId="4" fillId="22" borderId="20" xfId="0" applyNumberFormat="1" applyFont="1" applyFill="1" applyBorder="1" applyProtection="1"/>
    <xf numFmtId="8" fontId="4" fillId="30" borderId="23" xfId="0" applyNumberFormat="1" applyFont="1" applyFill="1" applyBorder="1" applyProtection="1">
      <protection locked="0"/>
    </xf>
    <xf numFmtId="8" fontId="4" fillId="30" borderId="24" xfId="0" applyNumberFormat="1" applyFont="1" applyFill="1" applyBorder="1" applyProtection="1">
      <protection locked="0"/>
    </xf>
    <xf numFmtId="8" fontId="4" fillId="30" borderId="25" xfId="0" applyNumberFormat="1" applyFont="1" applyFill="1" applyBorder="1" applyProtection="1">
      <protection locked="0"/>
    </xf>
    <xf numFmtId="8" fontId="4" fillId="30" borderId="26" xfId="0" applyNumberFormat="1" applyFont="1" applyFill="1" applyBorder="1" applyProtection="1">
      <protection locked="0"/>
    </xf>
    <xf numFmtId="8" fontId="4" fillId="26" borderId="25" xfId="0" applyNumberFormat="1" applyFont="1" applyFill="1" applyBorder="1" applyProtection="1"/>
    <xf numFmtId="8" fontId="4" fillId="22" borderId="24" xfId="0" applyNumberFormat="1" applyFont="1" applyFill="1" applyBorder="1" applyProtection="1"/>
    <xf numFmtId="8" fontId="4" fillId="30" borderId="20" xfId="0" applyNumberFormat="1" applyFont="1" applyFill="1" applyBorder="1" applyAlignment="1" applyProtection="1">
      <alignment horizontal="center"/>
      <protection locked="0"/>
    </xf>
    <xf numFmtId="8" fontId="4" fillId="22" borderId="9" xfId="0" applyNumberFormat="1" applyFont="1" applyFill="1" applyBorder="1" applyProtection="1"/>
    <xf numFmtId="8" fontId="4" fillId="22" borderId="0" xfId="0" applyNumberFormat="1" applyFont="1" applyFill="1" applyBorder="1" applyProtection="1"/>
    <xf numFmtId="8" fontId="4" fillId="22" borderId="10" xfId="0" applyNumberFormat="1" applyFont="1" applyFill="1" applyBorder="1" applyProtection="1"/>
    <xf numFmtId="8" fontId="4" fillId="30" borderId="27" xfId="0" applyNumberFormat="1" applyFont="1" applyFill="1" applyBorder="1" applyProtection="1">
      <protection locked="0"/>
    </xf>
    <xf numFmtId="8" fontId="4" fillId="30" borderId="28" xfId="0" applyNumberFormat="1" applyFont="1" applyFill="1" applyBorder="1" applyProtection="1">
      <protection locked="0"/>
    </xf>
    <xf numFmtId="8" fontId="4" fillId="30" borderId="0" xfId="0" applyNumberFormat="1" applyFont="1" applyFill="1" applyBorder="1" applyProtection="1">
      <protection locked="0"/>
    </xf>
    <xf numFmtId="8" fontId="4" fillId="30" borderId="15" xfId="0" applyNumberFormat="1" applyFont="1" applyFill="1" applyBorder="1" applyProtection="1">
      <protection locked="0"/>
    </xf>
    <xf numFmtId="8" fontId="4" fillId="26" borderId="23" xfId="0" applyNumberFormat="1" applyFont="1" applyFill="1" applyBorder="1" applyProtection="1"/>
    <xf numFmtId="8" fontId="4" fillId="26" borderId="24" xfId="0" applyNumberFormat="1" applyFont="1" applyFill="1" applyBorder="1" applyProtection="1"/>
    <xf numFmtId="8" fontId="4" fillId="26" borderId="61" xfId="0" applyNumberFormat="1" applyFont="1" applyFill="1" applyBorder="1" applyProtection="1"/>
    <xf numFmtId="8" fontId="4" fillId="30" borderId="62" xfId="0" applyNumberFormat="1" applyFont="1" applyFill="1" applyBorder="1" applyProtection="1">
      <protection locked="0"/>
    </xf>
    <xf numFmtId="8" fontId="4" fillId="30" borderId="63" xfId="0" applyNumberFormat="1" applyFont="1" applyFill="1" applyBorder="1" applyProtection="1">
      <protection locked="0"/>
    </xf>
    <xf numFmtId="8" fontId="4" fillId="26" borderId="26" xfId="0" applyNumberFormat="1" applyFont="1" applyFill="1" applyBorder="1" applyProtection="1"/>
    <xf numFmtId="8" fontId="4" fillId="26" borderId="64" xfId="0" applyNumberFormat="1" applyFont="1" applyFill="1" applyBorder="1" applyProtection="1"/>
    <xf numFmtId="8" fontId="4" fillId="0" borderId="42" xfId="0" applyNumberFormat="1" applyFont="1" applyFill="1" applyBorder="1" applyProtection="1"/>
    <xf numFmtId="8" fontId="4" fillId="0" borderId="41" xfId="0" applyNumberFormat="1" applyFont="1" applyFill="1" applyBorder="1" applyProtection="1"/>
    <xf numFmtId="8" fontId="4" fillId="0" borderId="10" xfId="0" applyNumberFormat="1" applyFont="1" applyBorder="1" applyProtection="1"/>
    <xf numFmtId="8" fontId="4" fillId="30" borderId="33" xfId="0" applyNumberFormat="1" applyFont="1" applyFill="1" applyBorder="1" applyProtection="1">
      <protection locked="0"/>
    </xf>
    <xf numFmtId="8" fontId="4" fillId="30" borderId="29" xfId="0" applyNumberFormat="1" applyFont="1" applyFill="1" applyBorder="1" applyProtection="1">
      <protection locked="0"/>
    </xf>
    <xf numFmtId="8" fontId="4" fillId="0" borderId="29" xfId="0" applyNumberFormat="1" applyFont="1" applyFill="1" applyBorder="1" applyProtection="1"/>
    <xf numFmtId="8" fontId="4" fillId="0" borderId="30" xfId="0" applyNumberFormat="1" applyFont="1" applyFill="1" applyBorder="1" applyProtection="1"/>
    <xf numFmtId="8" fontId="4" fillId="26" borderId="33" xfId="0" applyNumberFormat="1" applyFont="1" applyFill="1" applyBorder="1" applyProtection="1"/>
    <xf numFmtId="8" fontId="4" fillId="26" borderId="29" xfId="0" applyNumberFormat="1" applyFont="1" applyFill="1" applyBorder="1" applyProtection="1"/>
    <xf numFmtId="8" fontId="4" fillId="0" borderId="31" xfId="0" applyNumberFormat="1" applyFont="1" applyFill="1" applyBorder="1" applyProtection="1"/>
    <xf numFmtId="8" fontId="4" fillId="0" borderId="43" xfId="0" applyNumberFormat="1" applyFont="1" applyFill="1" applyBorder="1" applyProtection="1"/>
    <xf numFmtId="8" fontId="4" fillId="26" borderId="44" xfId="0" applyNumberFormat="1" applyFont="1" applyFill="1" applyBorder="1" applyProtection="1"/>
    <xf numFmtId="8" fontId="4" fillId="30" borderId="35" xfId="0" applyNumberFormat="1" applyFont="1" applyFill="1" applyBorder="1" applyProtection="1">
      <protection locked="0"/>
    </xf>
    <xf numFmtId="8" fontId="4" fillId="30" borderId="36" xfId="0" applyNumberFormat="1" applyFont="1" applyFill="1" applyBorder="1" applyProtection="1">
      <protection locked="0"/>
    </xf>
    <xf numFmtId="8" fontId="4" fillId="30" borderId="34" xfId="0" applyNumberFormat="1" applyFont="1" applyFill="1" applyBorder="1" applyProtection="1">
      <protection locked="0"/>
    </xf>
    <xf numFmtId="8" fontId="0" fillId="0" borderId="57" xfId="0" applyNumberFormat="1" applyBorder="1" applyProtection="1"/>
    <xf numFmtId="8" fontId="4" fillId="30" borderId="32" xfId="0" applyNumberFormat="1" applyFont="1" applyFill="1" applyBorder="1" applyProtection="1">
      <protection locked="0"/>
    </xf>
    <xf numFmtId="8" fontId="0" fillId="0" borderId="32" xfId="0" applyNumberFormat="1" applyBorder="1" applyProtection="1"/>
    <xf numFmtId="8" fontId="11" fillId="0" borderId="0" xfId="0" applyNumberFormat="1" applyFont="1" applyProtection="1"/>
    <xf numFmtId="8" fontId="4" fillId="0" borderId="0" xfId="0" applyNumberFormat="1" applyFont="1" applyProtection="1"/>
    <xf numFmtId="8" fontId="0" fillId="0" borderId="0" xfId="0" applyNumberFormat="1" applyAlignment="1" applyProtection="1">
      <alignment horizontal="center" vertical="center" wrapText="1"/>
    </xf>
    <xf numFmtId="8" fontId="0" fillId="0" borderId="0" xfId="0" applyNumberFormat="1" applyFill="1" applyProtection="1"/>
    <xf numFmtId="8" fontId="4" fillId="0" borderId="0" xfId="0" applyNumberFormat="1" applyFont="1" applyFill="1" applyProtection="1"/>
    <xf numFmtId="8" fontId="5" fillId="0" borderId="0" xfId="0" applyNumberFormat="1" applyFont="1" applyAlignment="1" applyProtection="1">
      <alignment horizontal="center" vertical="center" wrapText="1"/>
    </xf>
    <xf numFmtId="0" fontId="0" fillId="0" borderId="0" xfId="0" applyNumberFormat="1" applyProtection="1"/>
    <xf numFmtId="0" fontId="5" fillId="0" borderId="0" xfId="0" applyNumberFormat="1" applyFont="1" applyProtection="1"/>
    <xf numFmtId="0" fontId="5" fillId="0" borderId="0" xfId="0" applyNumberFormat="1" applyFont="1" applyAlignment="1" applyProtection="1">
      <alignment wrapText="1"/>
    </xf>
    <xf numFmtId="0" fontId="16" fillId="0" borderId="14" xfId="0" applyNumberFormat="1" applyFont="1" applyBorder="1" applyAlignment="1" applyProtection="1">
      <alignment horizontal="center"/>
    </xf>
    <xf numFmtId="0" fontId="16" fillId="0" borderId="13" xfId="0" applyNumberFormat="1" applyFont="1" applyBorder="1" applyAlignment="1" applyProtection="1"/>
    <xf numFmtId="8" fontId="4" fillId="22" borderId="21" xfId="0" applyNumberFormat="1" applyFont="1" applyFill="1" applyBorder="1" applyProtection="1"/>
    <xf numFmtId="0" fontId="4" fillId="0" borderId="1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43" xfId="0" applyFont="1" applyBorder="1" applyAlignment="1" applyProtection="1">
      <alignment vertical="center"/>
    </xf>
    <xf numFmtId="0" fontId="3" fillId="29" borderId="4" xfId="0" applyFont="1" applyFill="1" applyBorder="1" applyAlignment="1" applyProtection="1">
      <alignment horizontal="center" vertical="center"/>
      <protection locked="0"/>
    </xf>
    <xf numFmtId="175" fontId="3" fillId="30" borderId="4" xfId="57" applyNumberFormat="1" applyFont="1" applyFill="1" applyBorder="1" applyAlignment="1" applyProtection="1">
      <alignment horizontal="center" vertical="center"/>
      <protection locked="0"/>
    </xf>
    <xf numFmtId="0" fontId="3" fillId="30" borderId="4" xfId="0" applyFont="1" applyFill="1" applyBorder="1" applyProtection="1">
      <protection locked="0"/>
    </xf>
    <xf numFmtId="0" fontId="3" fillId="29" borderId="4" xfId="0" applyFont="1" applyFill="1" applyBorder="1" applyProtection="1">
      <protection locked="0"/>
    </xf>
    <xf numFmtId="176" fontId="3" fillId="30" borderId="4" xfId="56" applyNumberFormat="1" applyFont="1" applyFill="1" applyBorder="1" applyProtection="1">
      <protection locked="0"/>
    </xf>
    <xf numFmtId="0" fontId="3" fillId="0" borderId="37" xfId="0" applyFont="1" applyBorder="1" applyAlignment="1" applyProtection="1">
      <alignment horizontal="left" vertical="top" wrapText="1"/>
      <protection locked="0"/>
    </xf>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3" fillId="29" borderId="54" xfId="59" applyFont="1" applyFill="1" applyBorder="1" applyAlignment="1" applyProtection="1">
      <alignment horizontal="left" vertical="center" wrapText="1"/>
      <protection locked="0"/>
    </xf>
    <xf numFmtId="0" fontId="43" fillId="29" borderId="55" xfId="59" applyFont="1" applyFill="1" applyBorder="1" applyAlignment="1" applyProtection="1">
      <alignment horizontal="left" vertical="center" wrapText="1"/>
      <protection locked="0"/>
    </xf>
    <xf numFmtId="0" fontId="43" fillId="29" borderId="56" xfId="59" applyFont="1" applyFill="1" applyBorder="1" applyAlignment="1" applyProtection="1">
      <alignment horizontal="left" vertical="center" wrapText="1"/>
      <protection locked="0"/>
    </xf>
    <xf numFmtId="0" fontId="44" fillId="30" borderId="54" xfId="59" applyFont="1" applyFill="1" applyBorder="1" applyAlignment="1" applyProtection="1">
      <alignment horizontal="left" vertical="center"/>
      <protection locked="0"/>
    </xf>
    <xf numFmtId="0" fontId="44" fillId="30" borderId="55"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43" fillId="30" borderId="54" xfId="59" applyFont="1" applyFill="1" applyBorder="1" applyAlignment="1" applyProtection="1">
      <alignment horizontal="left" vertical="center"/>
      <protection locked="0"/>
    </xf>
    <xf numFmtId="0" fontId="43" fillId="30" borderId="55" xfId="59" applyFont="1" applyFill="1" applyBorder="1" applyAlignment="1" applyProtection="1">
      <alignment horizontal="left" vertical="center"/>
      <protection locked="0"/>
    </xf>
    <xf numFmtId="0" fontId="43" fillId="30" borderId="56" xfId="59" applyFont="1" applyFill="1" applyBorder="1" applyAlignment="1" applyProtection="1">
      <alignment horizontal="left" vertical="center"/>
      <protection locked="0"/>
    </xf>
    <xf numFmtId="0" fontId="53" fillId="30" borderId="54" xfId="72" applyNumberFormat="1" applyFill="1" applyBorder="1" applyAlignment="1" applyProtection="1">
      <alignment horizontal="left" vertical="center"/>
      <protection locked="0"/>
    </xf>
    <xf numFmtId="0" fontId="43" fillId="30" borderId="55" xfId="59" applyNumberFormat="1" applyFont="1" applyFill="1" applyBorder="1" applyAlignment="1" applyProtection="1">
      <alignment horizontal="left" vertical="center"/>
      <protection locked="0"/>
    </xf>
    <xf numFmtId="0" fontId="43" fillId="30" borderId="56" xfId="59" applyNumberFormat="1" applyFont="1" applyFill="1" applyBorder="1" applyAlignment="1" applyProtection="1">
      <alignment horizontal="left" vertical="center"/>
      <protection locked="0"/>
    </xf>
    <xf numFmtId="8" fontId="36" fillId="0" borderId="40" xfId="0" applyNumberFormat="1" applyFont="1" applyBorder="1" applyAlignment="1" applyProtection="1">
      <alignment horizontal="center" vertical="center" wrapText="1"/>
    </xf>
    <xf numFmtId="8" fontId="37" fillId="0" borderId="0" xfId="0" applyNumberFormat="1" applyFont="1" applyBorder="1" applyAlignment="1" applyProtection="1">
      <alignment horizontal="center" vertical="center" wrapText="1"/>
    </xf>
    <xf numFmtId="8" fontId="37" fillId="0" borderId="48" xfId="0" applyNumberFormat="1" applyFont="1" applyBorder="1" applyAlignment="1" applyProtection="1">
      <alignment horizontal="center" vertical="center" wrapText="1"/>
    </xf>
    <xf numFmtId="8" fontId="17" fillId="0" borderId="40" xfId="0" applyNumberFormat="1" applyFont="1" applyBorder="1" applyAlignment="1" applyProtection="1">
      <alignment horizontal="center" vertical="center" wrapText="1"/>
    </xf>
    <xf numFmtId="8" fontId="15" fillId="0" borderId="0" xfId="0" applyNumberFormat="1" applyFont="1" applyBorder="1" applyAlignment="1" applyProtection="1">
      <alignment horizontal="center" vertical="center" wrapText="1"/>
    </xf>
    <xf numFmtId="8" fontId="15" fillId="0" borderId="48" xfId="0" applyNumberFormat="1" applyFont="1" applyBorder="1" applyAlignment="1" applyProtection="1">
      <alignment horizontal="center" vertical="center" wrapText="1"/>
    </xf>
    <xf numFmtId="8" fontId="17" fillId="0" borderId="49" xfId="0" applyNumberFormat="1" applyFont="1" applyBorder="1" applyAlignment="1" applyProtection="1">
      <alignment horizontal="center" vertical="center" wrapText="1"/>
    </xf>
    <xf numFmtId="8" fontId="17" fillId="0" borderId="10" xfId="0" applyNumberFormat="1" applyFont="1" applyBorder="1" applyAlignment="1" applyProtection="1">
      <alignment horizontal="center" vertical="center" wrapText="1"/>
    </xf>
    <xf numFmtId="8" fontId="17" fillId="0" borderId="50" xfId="0" applyNumberFormat="1" applyFont="1" applyBorder="1" applyAlignment="1" applyProtection="1">
      <alignment horizontal="center" vertical="center" wrapText="1"/>
    </xf>
    <xf numFmtId="8" fontId="17" fillId="0" borderId="46" xfId="0" applyNumberFormat="1" applyFont="1" applyBorder="1" applyAlignment="1" applyProtection="1">
      <alignment horizontal="center" vertical="center" wrapText="1"/>
    </xf>
    <xf numFmtId="8" fontId="17" fillId="0" borderId="9" xfId="0" applyNumberFormat="1" applyFont="1" applyBorder="1" applyAlignment="1" applyProtection="1">
      <alignment horizontal="center" vertical="center" wrapText="1"/>
    </xf>
    <xf numFmtId="8" fontId="17" fillId="0" borderId="47" xfId="0" applyNumberFormat="1" applyFont="1" applyBorder="1" applyAlignment="1" applyProtection="1">
      <alignment horizontal="center" vertical="center" wrapText="1"/>
    </xf>
    <xf numFmtId="8" fontId="17" fillId="0" borderId="0" xfId="0" applyNumberFormat="1" applyFont="1" applyBorder="1" applyAlignment="1" applyProtection="1">
      <alignment horizontal="center" vertical="center" wrapText="1"/>
    </xf>
    <xf numFmtId="8" fontId="17" fillId="0" borderId="48" xfId="0" applyNumberFormat="1" applyFont="1" applyBorder="1" applyAlignment="1" applyProtection="1">
      <alignment horizontal="center" vertical="center" wrapText="1"/>
    </xf>
    <xf numFmtId="8" fontId="17" fillId="0" borderId="51" xfId="0" applyNumberFormat="1" applyFont="1" applyBorder="1" applyAlignment="1" applyProtection="1">
      <alignment horizontal="center" vertical="center" wrapText="1"/>
    </xf>
    <xf numFmtId="8" fontId="17" fillId="0" borderId="15" xfId="0" applyNumberFormat="1" applyFont="1" applyBorder="1" applyAlignment="1" applyProtection="1">
      <alignment horizontal="center" vertical="center" wrapText="1"/>
    </xf>
    <xf numFmtId="8" fontId="17" fillId="0" borderId="52" xfId="0" applyNumberFormat="1" applyFont="1" applyBorder="1" applyAlignment="1" applyProtection="1">
      <alignment horizontal="center" vertical="center" wrapText="1"/>
    </xf>
    <xf numFmtId="0" fontId="16" fillId="0" borderId="17" xfId="0" applyNumberFormat="1" applyFont="1" applyBorder="1" applyAlignment="1" applyProtection="1">
      <alignment horizontal="center"/>
    </xf>
    <xf numFmtId="0" fontId="16" fillId="0" borderId="45" xfId="0" applyNumberFormat="1" applyFont="1" applyBorder="1" applyAlignment="1" applyProtection="1">
      <alignment horizontal="center"/>
    </xf>
    <xf numFmtId="0" fontId="16" fillId="0" borderId="13" xfId="0" applyNumberFormat="1" applyFont="1" applyBorder="1" applyAlignment="1" applyProtection="1">
      <alignment horizontal="center"/>
    </xf>
    <xf numFmtId="0" fontId="14" fillId="0" borderId="17" xfId="0" applyNumberFormat="1" applyFont="1" applyFill="1" applyBorder="1" applyAlignment="1" applyProtection="1">
      <alignment horizontal="center" vertical="center"/>
    </xf>
    <xf numFmtId="0" fontId="14" fillId="0" borderId="45"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3" fillId="0" borderId="0" xfId="0" applyFont="1" applyAlignment="1" applyProtection="1">
      <alignment wrapText="1"/>
    </xf>
    <xf numFmtId="0" fontId="0" fillId="0" borderId="0" xfId="0" applyAlignment="1">
      <alignment wrapText="1"/>
    </xf>
    <xf numFmtId="0" fontId="11" fillId="0" borderId="0" xfId="0" applyFont="1" applyAlignment="1" applyProtection="1">
      <alignment horizontal="left" vertical="top" wrapText="1"/>
    </xf>
    <xf numFmtId="0" fontId="34" fillId="0" borderId="46"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47" xfId="0" applyFont="1" applyBorder="1" applyAlignment="1" applyProtection="1">
      <alignment horizontal="left" vertical="center"/>
    </xf>
    <xf numFmtId="0" fontId="17" fillId="0" borderId="4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5" fillId="27" borderId="0" xfId="0" applyFont="1" applyFill="1" applyBorder="1" applyAlignment="1" applyProtection="1">
      <alignment horizontal="left" vertical="top" wrapText="1"/>
    </xf>
    <xf numFmtId="0" fontId="17" fillId="0" borderId="5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34" fillId="0" borderId="46" xfId="0" applyFont="1" applyBorder="1" applyAlignment="1" applyProtection="1">
      <alignment horizontal="left" vertical="center" wrapText="1"/>
    </xf>
    <xf numFmtId="0" fontId="34" fillId="0" borderId="9" xfId="0" applyFont="1" applyBorder="1" applyAlignment="1" applyProtection="1">
      <alignment horizontal="left" vertical="center" wrapText="1"/>
    </xf>
    <xf numFmtId="0" fontId="34" fillId="0" borderId="47" xfId="0" applyFont="1" applyBorder="1" applyAlignment="1" applyProtection="1">
      <alignment horizontal="left" vertical="center" wrapText="1"/>
    </xf>
    <xf numFmtId="0" fontId="6" fillId="0" borderId="0" xfId="0" applyFont="1" applyAlignment="1" applyProtection="1">
      <alignment horizontal="left" vertical="top" wrapText="1"/>
    </xf>
    <xf numFmtId="0" fontId="3" fillId="0" borderId="0" xfId="0" applyFont="1" applyAlignment="1" applyProtection="1">
      <alignment horizontal="left" vertical="top" wrapText="1"/>
    </xf>
    <xf numFmtId="175" fontId="6" fillId="28" borderId="4" xfId="69" applyNumberFormat="1" applyFont="1" applyFill="1" applyBorder="1" applyAlignment="1" applyProtection="1">
      <alignment horizontal="center" vertical="center"/>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0" fontId="49" fillId="0" borderId="0" xfId="0" applyFont="1" applyAlignment="1" applyProtection="1">
      <alignment horizontal="left" vertical="top" wrapText="1"/>
    </xf>
    <xf numFmtId="175" fontId="6" fillId="28" borderId="4" xfId="69" applyNumberFormat="1"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0" fontId="3" fillId="0" borderId="59"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3" borderId="4" xfId="0" applyFont="1" applyFill="1" applyBorder="1" applyAlignment="1">
      <alignment horizontal="right" vertical="center" wrapText="1" indent="1"/>
    </xf>
    <xf numFmtId="0" fontId="6" fillId="28" borderId="58" xfId="69" applyFont="1" applyFill="1" applyBorder="1" applyAlignment="1" applyProtection="1">
      <alignment horizontal="center" vertical="center" wrapText="1"/>
    </xf>
    <xf numFmtId="0" fontId="6" fillId="28" borderId="60" xfId="69"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wrapText="1"/>
    </xf>
  </cellXfs>
  <cellStyles count="73">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Hyperlink" xfId="72" builtinId="8"/>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3" xfId="71"/>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6">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8813936" cy="1924049"/>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647700" y="63500"/>
          <a:ext cx="9309100" cy="2317750"/>
          <a:chOff x="9524" y="19051"/>
          <a:chExt cx="8537711" cy="1924049"/>
        </a:xfrm>
      </xdr:grpSpPr>
      <xdr:pic>
        <xdr:nvPicPr>
          <xdr:cNvPr id="17"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47675" y="28575"/>
          <a:ext cx="9321800" cy="2362200"/>
          <a:chOff x="9524" y="19051"/>
          <a:chExt cx="8537711" cy="1924049"/>
        </a:xfrm>
      </xdr:grpSpPr>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73025</xdr:colOff>
      <xdr:row>14</xdr:row>
      <xdr:rowOff>95250</xdr:rowOff>
    </xdr:to>
    <xdr:grpSp>
      <xdr:nvGrpSpPr>
        <xdr:cNvPr id="2" name="Group 1"/>
        <xdr:cNvGrpSpPr/>
      </xdr:nvGrpSpPr>
      <xdr:grpSpPr>
        <a:xfrm>
          <a:off x="0" y="0"/>
          <a:ext cx="9321800" cy="2362200"/>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6</xdr:col>
      <xdr:colOff>238125</xdr:colOff>
      <xdr:row>1</xdr:row>
      <xdr:rowOff>28575</xdr:rowOff>
    </xdr:to>
    <xdr:grpSp>
      <xdr:nvGrpSpPr>
        <xdr:cNvPr id="2" name="Group 1"/>
        <xdr:cNvGrpSpPr/>
      </xdr:nvGrpSpPr>
      <xdr:grpSpPr>
        <a:xfrm>
          <a:off x="38100" y="0"/>
          <a:ext cx="8867775" cy="1847850"/>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914400</xdr:colOff>
      <xdr:row>11</xdr:row>
      <xdr:rowOff>63500</xdr:rowOff>
    </xdr:to>
    <xdr:grpSp>
      <xdr:nvGrpSpPr>
        <xdr:cNvPr id="2" name="Group 1"/>
        <xdr:cNvGrpSpPr/>
      </xdr:nvGrpSpPr>
      <xdr:grpSpPr>
        <a:xfrm>
          <a:off x="0" y="0"/>
          <a:ext cx="11115675" cy="1844675"/>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scott@hchydro.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tabSelected="1" topLeftCell="A12" workbookViewId="0">
      <selection activeCell="P23" sqref="P23"/>
    </sheetView>
  </sheetViews>
  <sheetFormatPr defaultColWidth="9.140625" defaultRowHeight="15" x14ac:dyDescent="0.25"/>
  <cols>
    <col min="1" max="1" width="13.28515625" style="41" customWidth="1"/>
    <col min="2" max="4" width="9.140625" style="41"/>
    <col min="5" max="5" width="9.140625" style="41" customWidth="1"/>
    <col min="6" max="21" width="9.140625" style="41"/>
    <col min="22" max="22" width="0" style="41" hidden="1" customWidth="1"/>
    <col min="23" max="16384" width="9.140625" style="41"/>
  </cols>
  <sheetData>
    <row r="1" spans="2:22" x14ac:dyDescent="0.25">
      <c r="V1" s="125" t="s">
        <v>210</v>
      </c>
    </row>
    <row r="2" spans="2:22" x14ac:dyDescent="0.25">
      <c r="V2" s="125" t="s">
        <v>211</v>
      </c>
    </row>
    <row r="3" spans="2:22" x14ac:dyDescent="0.25">
      <c r="V3" s="125" t="s">
        <v>212</v>
      </c>
    </row>
    <row r="4" spans="2:22" x14ac:dyDescent="0.25">
      <c r="V4" s="125" t="s">
        <v>213</v>
      </c>
    </row>
    <row r="5" spans="2:22" x14ac:dyDescent="0.25">
      <c r="V5" s="125" t="s">
        <v>214</v>
      </c>
    </row>
    <row r="6" spans="2:22" x14ac:dyDescent="0.25">
      <c r="V6" s="125" t="s">
        <v>215</v>
      </c>
    </row>
    <row r="7" spans="2:22" x14ac:dyDescent="0.25">
      <c r="V7" s="125" t="s">
        <v>216</v>
      </c>
    </row>
    <row r="8" spans="2:22" x14ac:dyDescent="0.25">
      <c r="V8" s="125" t="s">
        <v>217</v>
      </c>
    </row>
    <row r="9" spans="2:22" x14ac:dyDescent="0.25">
      <c r="V9" s="125" t="s">
        <v>218</v>
      </c>
    </row>
    <row r="10" spans="2:22" x14ac:dyDescent="0.25">
      <c r="V10" s="125" t="s">
        <v>219</v>
      </c>
    </row>
    <row r="11" spans="2:22" x14ac:dyDescent="0.25">
      <c r="G11" s="42"/>
      <c r="V11" s="125" t="s">
        <v>220</v>
      </c>
    </row>
    <row r="12" spans="2:22" x14ac:dyDescent="0.25">
      <c r="B12" s="43"/>
      <c r="C12" s="43"/>
      <c r="D12" s="43"/>
      <c r="E12" s="43"/>
      <c r="F12" s="43"/>
      <c r="G12" s="42"/>
      <c r="M12" s="44" t="s">
        <v>118</v>
      </c>
      <c r="N12" s="45">
        <v>2.2000000000000002</v>
      </c>
      <c r="V12" s="125" t="s">
        <v>221</v>
      </c>
    </row>
    <row r="13" spans="2:22" ht="15.75" thickBot="1" x14ac:dyDescent="0.3">
      <c r="G13" s="42"/>
      <c r="V13" s="125" t="s">
        <v>222</v>
      </c>
    </row>
    <row r="14" spans="2:22" ht="16.5" customHeight="1" thickTop="1" thickBot="1" x14ac:dyDescent="0.3">
      <c r="E14" s="46" t="s">
        <v>119</v>
      </c>
      <c r="F14" s="220" t="s">
        <v>237</v>
      </c>
      <c r="G14" s="221"/>
      <c r="H14" s="221"/>
      <c r="I14" s="221"/>
      <c r="J14" s="221"/>
      <c r="K14" s="221"/>
      <c r="L14" s="222"/>
      <c r="V14" s="125" t="s">
        <v>223</v>
      </c>
    </row>
    <row r="15" spans="2:22" ht="15.75" thickBot="1" x14ac:dyDescent="0.3">
      <c r="E15" s="47"/>
      <c r="F15" s="48"/>
      <c r="G15" s="49"/>
      <c r="H15" s="48"/>
      <c r="I15" s="48"/>
      <c r="J15" s="48"/>
      <c r="V15" s="125" t="s">
        <v>224</v>
      </c>
    </row>
    <row r="16" spans="2:22" ht="16.5" thickTop="1" thickBot="1" x14ac:dyDescent="0.3">
      <c r="E16" s="50" t="s">
        <v>120</v>
      </c>
      <c r="F16" s="223" t="s">
        <v>121</v>
      </c>
      <c r="G16" s="224"/>
      <c r="H16" s="224"/>
      <c r="I16" s="224"/>
      <c r="J16" s="225"/>
      <c r="V16" s="125" t="s">
        <v>225</v>
      </c>
    </row>
    <row r="17" spans="2:22" ht="15.75" thickBot="1" x14ac:dyDescent="0.3">
      <c r="E17" s="51"/>
      <c r="V17" s="126" t="s">
        <v>226</v>
      </c>
    </row>
    <row r="18" spans="2:22" ht="16.5" thickTop="1" thickBot="1" x14ac:dyDescent="0.3">
      <c r="E18" s="50" t="s">
        <v>122</v>
      </c>
      <c r="F18" s="226" t="s">
        <v>297</v>
      </c>
      <c r="G18" s="227"/>
      <c r="H18" s="227"/>
      <c r="I18" s="227"/>
      <c r="J18" s="228"/>
      <c r="V18" s="125" t="s">
        <v>227</v>
      </c>
    </row>
    <row r="19" spans="2:22" ht="15.75" thickBot="1" x14ac:dyDescent="0.3">
      <c r="E19" s="51"/>
      <c r="V19" s="125" t="s">
        <v>228</v>
      </c>
    </row>
    <row r="20" spans="2:22" ht="16.5" thickTop="1" thickBot="1" x14ac:dyDescent="0.3">
      <c r="E20" s="50" t="s">
        <v>123</v>
      </c>
      <c r="F20" s="226" t="s">
        <v>310</v>
      </c>
      <c r="G20" s="227"/>
      <c r="H20" s="227"/>
      <c r="I20" s="227"/>
      <c r="J20" s="228"/>
      <c r="V20" s="125" t="s">
        <v>229</v>
      </c>
    </row>
    <row r="21" spans="2:22" ht="15.75" thickBot="1" x14ac:dyDescent="0.3">
      <c r="E21" s="52"/>
      <c r="F21" s="48"/>
      <c r="G21" s="49"/>
      <c r="H21" s="48"/>
      <c r="I21" s="48"/>
      <c r="J21" s="48"/>
      <c r="V21" s="125" t="s">
        <v>230</v>
      </c>
    </row>
    <row r="22" spans="2:22" ht="16.5" thickTop="1" thickBot="1" x14ac:dyDescent="0.3">
      <c r="E22" s="46" t="s">
        <v>124</v>
      </c>
      <c r="F22" s="226" t="s">
        <v>298</v>
      </c>
      <c r="G22" s="227"/>
      <c r="H22" s="227"/>
      <c r="I22" s="227"/>
      <c r="J22" s="228"/>
      <c r="V22" s="125" t="s">
        <v>231</v>
      </c>
    </row>
    <row r="23" spans="2:22" ht="15.75" thickBot="1" x14ac:dyDescent="0.3">
      <c r="E23" s="52"/>
      <c r="F23" s="48"/>
      <c r="G23" s="49"/>
      <c r="H23" s="48"/>
      <c r="I23" s="48"/>
      <c r="J23" s="48"/>
      <c r="V23" s="125" t="s">
        <v>232</v>
      </c>
    </row>
    <row r="24" spans="2:22" ht="16.5" thickTop="1" thickBot="1" x14ac:dyDescent="0.3">
      <c r="E24" s="46" t="s">
        <v>125</v>
      </c>
      <c r="F24" s="229" t="s">
        <v>299</v>
      </c>
      <c r="G24" s="230"/>
      <c r="H24" s="230"/>
      <c r="I24" s="230"/>
      <c r="J24" s="231"/>
      <c r="V24" s="125" t="s">
        <v>233</v>
      </c>
    </row>
    <row r="25" spans="2:22" x14ac:dyDescent="0.25">
      <c r="E25" s="52"/>
      <c r="F25" s="48"/>
      <c r="G25" s="49"/>
      <c r="H25" s="48"/>
      <c r="I25" s="48"/>
      <c r="J25" s="48"/>
      <c r="V25" s="125" t="s">
        <v>234</v>
      </c>
    </row>
    <row r="26" spans="2:22" x14ac:dyDescent="0.25">
      <c r="E26" s="46"/>
      <c r="I26" s="48"/>
      <c r="J26" s="48"/>
      <c r="V26" s="125" t="s">
        <v>235</v>
      </c>
    </row>
    <row r="27" spans="2:22" ht="168.75" customHeight="1" x14ac:dyDescent="0.25">
      <c r="B27" s="219" t="s">
        <v>130</v>
      </c>
      <c r="C27" s="219"/>
      <c r="D27" s="219"/>
      <c r="E27" s="219"/>
      <c r="F27" s="219"/>
      <c r="G27" s="219"/>
      <c r="H27" s="219"/>
      <c r="I27" s="219"/>
      <c r="J27" s="219"/>
      <c r="K27" s="219"/>
      <c r="L27" s="219"/>
      <c r="M27" s="219"/>
      <c r="V27" s="125" t="s">
        <v>236</v>
      </c>
    </row>
    <row r="28" spans="2:22" x14ac:dyDescent="0.25">
      <c r="V28" s="125" t="s">
        <v>237</v>
      </c>
    </row>
    <row r="29" spans="2:22" x14ac:dyDescent="0.25">
      <c r="B29" s="53" t="s">
        <v>126</v>
      </c>
      <c r="C29" s="54"/>
      <c r="D29" s="54"/>
      <c r="E29" s="54"/>
      <c r="F29" s="54"/>
      <c r="G29" s="54"/>
      <c r="H29" s="54"/>
      <c r="I29" s="54"/>
      <c r="J29" s="54"/>
      <c r="K29" s="54"/>
      <c r="L29" s="54"/>
      <c r="M29" s="54"/>
      <c r="N29" s="54"/>
      <c r="V29" s="125" t="s">
        <v>238</v>
      </c>
    </row>
    <row r="30" spans="2:22" ht="15.75" thickBot="1" x14ac:dyDescent="0.3">
      <c r="B30" s="54"/>
      <c r="C30" s="54"/>
      <c r="D30" s="54"/>
      <c r="E30" s="54"/>
      <c r="F30" s="54"/>
      <c r="G30" s="54"/>
      <c r="H30" s="54"/>
      <c r="I30" s="54"/>
      <c r="J30" s="54"/>
      <c r="K30" s="54"/>
      <c r="L30" s="54"/>
      <c r="M30" s="54"/>
      <c r="N30" s="54"/>
      <c r="V30" s="125" t="s">
        <v>239</v>
      </c>
    </row>
    <row r="31" spans="2:22" ht="15.75" thickBot="1" x14ac:dyDescent="0.3">
      <c r="B31" s="55"/>
      <c r="C31" s="214" t="s">
        <v>127</v>
      </c>
      <c r="D31" s="214"/>
      <c r="E31" s="214"/>
      <c r="F31" s="214"/>
      <c r="G31" s="214"/>
      <c r="H31" s="214"/>
      <c r="I31" s="214"/>
      <c r="J31" s="214"/>
      <c r="K31" s="214"/>
      <c r="L31" s="214"/>
      <c r="M31" s="54"/>
      <c r="N31" s="54"/>
      <c r="V31" s="125" t="s">
        <v>240</v>
      </c>
    </row>
    <row r="32" spans="2:22" ht="15.75" thickBot="1" x14ac:dyDescent="0.3">
      <c r="B32" s="54"/>
      <c r="C32" s="54"/>
      <c r="D32" s="54"/>
      <c r="E32" s="54"/>
      <c r="F32" s="54"/>
      <c r="G32" s="54"/>
      <c r="H32" s="54"/>
      <c r="I32" s="54"/>
      <c r="J32" s="54"/>
      <c r="K32" s="54"/>
      <c r="L32" s="54"/>
      <c r="M32" s="54"/>
      <c r="N32" s="54"/>
      <c r="V32" s="125" t="s">
        <v>241</v>
      </c>
    </row>
    <row r="33" spans="2:22" ht="15.75" thickBot="1" x14ac:dyDescent="0.3">
      <c r="B33" s="56"/>
      <c r="C33" s="215" t="s">
        <v>128</v>
      </c>
      <c r="D33" s="216"/>
      <c r="E33" s="216"/>
      <c r="F33" s="216"/>
      <c r="G33" s="216"/>
      <c r="H33" s="216"/>
      <c r="I33" s="216"/>
      <c r="J33" s="216"/>
      <c r="K33" s="216"/>
      <c r="L33" s="216"/>
      <c r="M33" s="216"/>
      <c r="N33" s="216"/>
      <c r="V33" s="125" t="s">
        <v>242</v>
      </c>
    </row>
    <row r="34" spans="2:22" ht="15.75" thickBot="1" x14ac:dyDescent="0.3">
      <c r="B34" s="57"/>
      <c r="C34" s="54"/>
      <c r="D34" s="54"/>
      <c r="E34" s="54"/>
      <c r="F34" s="54"/>
      <c r="G34" s="54"/>
      <c r="H34" s="54"/>
      <c r="I34" s="54"/>
      <c r="J34" s="54"/>
      <c r="K34" s="54"/>
      <c r="L34" s="54"/>
      <c r="M34" s="54"/>
      <c r="N34" s="54"/>
      <c r="V34" s="125" t="s">
        <v>243</v>
      </c>
    </row>
    <row r="35" spans="2:22" ht="15.75" thickBot="1" x14ac:dyDescent="0.3">
      <c r="B35" s="58"/>
      <c r="C35" s="217" t="s">
        <v>129</v>
      </c>
      <c r="D35" s="218"/>
      <c r="E35" s="218"/>
      <c r="F35" s="218"/>
      <c r="G35" s="218"/>
      <c r="H35" s="218"/>
      <c r="I35" s="218"/>
      <c r="J35" s="218"/>
      <c r="K35" s="218"/>
      <c r="L35" s="218"/>
      <c r="M35" s="218"/>
      <c r="N35" s="54"/>
      <c r="V35" s="127" t="s">
        <v>244</v>
      </c>
    </row>
    <row r="36" spans="2:22" x14ac:dyDescent="0.25">
      <c r="B36" s="54"/>
      <c r="C36" s="54"/>
      <c r="D36" s="54"/>
      <c r="E36" s="54"/>
      <c r="F36" s="54"/>
      <c r="G36" s="54"/>
      <c r="H36" s="54"/>
      <c r="I36" s="54"/>
      <c r="J36" s="54"/>
      <c r="K36" s="54"/>
      <c r="L36" s="54"/>
      <c r="M36" s="54"/>
      <c r="N36" s="54"/>
      <c r="V36" s="125" t="s">
        <v>245</v>
      </c>
    </row>
    <row r="37" spans="2:22" x14ac:dyDescent="0.25">
      <c r="V37" s="125" t="s">
        <v>246</v>
      </c>
    </row>
    <row r="38" spans="2:22" x14ac:dyDescent="0.25">
      <c r="V38" s="125" t="s">
        <v>247</v>
      </c>
    </row>
    <row r="39" spans="2:22" x14ac:dyDescent="0.25">
      <c r="V39" s="125" t="s">
        <v>248</v>
      </c>
    </row>
    <row r="40" spans="2:22" x14ac:dyDescent="0.25">
      <c r="V40" s="125" t="s">
        <v>249</v>
      </c>
    </row>
    <row r="41" spans="2:22" x14ac:dyDescent="0.25">
      <c r="V41" s="125" t="s">
        <v>250</v>
      </c>
    </row>
    <row r="42" spans="2:22" x14ac:dyDescent="0.25">
      <c r="V42" s="125" t="s">
        <v>251</v>
      </c>
    </row>
    <row r="43" spans="2:22" x14ac:dyDescent="0.25">
      <c r="V43" s="125" t="s">
        <v>252</v>
      </c>
    </row>
    <row r="44" spans="2:22" x14ac:dyDescent="0.25">
      <c r="V44" s="125" t="s">
        <v>253</v>
      </c>
    </row>
    <row r="45" spans="2:22" x14ac:dyDescent="0.25">
      <c r="V45" s="125" t="s">
        <v>254</v>
      </c>
    </row>
    <row r="46" spans="2:22" x14ac:dyDescent="0.25">
      <c r="V46" s="125" t="s">
        <v>255</v>
      </c>
    </row>
    <row r="47" spans="2:22" x14ac:dyDescent="0.25">
      <c r="V47" s="125" t="s">
        <v>256</v>
      </c>
    </row>
    <row r="48" spans="2:22" x14ac:dyDescent="0.25">
      <c r="V48" s="125" t="s">
        <v>257</v>
      </c>
    </row>
    <row r="49" spans="22:22" x14ac:dyDescent="0.25">
      <c r="V49" s="125" t="s">
        <v>258</v>
      </c>
    </row>
    <row r="50" spans="22:22" x14ac:dyDescent="0.25">
      <c r="V50" s="125" t="s">
        <v>259</v>
      </c>
    </row>
    <row r="51" spans="22:22" x14ac:dyDescent="0.25">
      <c r="V51" s="125" t="s">
        <v>260</v>
      </c>
    </row>
    <row r="52" spans="22:22" x14ac:dyDescent="0.25">
      <c r="V52" s="125" t="s">
        <v>261</v>
      </c>
    </row>
    <row r="53" spans="22:22" x14ac:dyDescent="0.25">
      <c r="V53" s="125" t="s">
        <v>262</v>
      </c>
    </row>
    <row r="54" spans="22:22" x14ac:dyDescent="0.25">
      <c r="V54" s="125" t="s">
        <v>263</v>
      </c>
    </row>
    <row r="55" spans="22:22" x14ac:dyDescent="0.25">
      <c r="V55" s="125" t="s">
        <v>264</v>
      </c>
    </row>
    <row r="56" spans="22:22" x14ac:dyDescent="0.25">
      <c r="V56" s="125" t="s">
        <v>265</v>
      </c>
    </row>
    <row r="57" spans="22:22" x14ac:dyDescent="0.25">
      <c r="V57" s="125" t="s">
        <v>266</v>
      </c>
    </row>
    <row r="58" spans="22:22" x14ac:dyDescent="0.25">
      <c r="V58" s="125" t="s">
        <v>267</v>
      </c>
    </row>
    <row r="59" spans="22:22" x14ac:dyDescent="0.25">
      <c r="V59" s="125" t="s">
        <v>268</v>
      </c>
    </row>
    <row r="60" spans="22:22" x14ac:dyDescent="0.25">
      <c r="V60" s="125" t="s">
        <v>269</v>
      </c>
    </row>
    <row r="61" spans="22:22" x14ac:dyDescent="0.25">
      <c r="V61" s="125" t="s">
        <v>270</v>
      </c>
    </row>
    <row r="62" spans="22:22" x14ac:dyDescent="0.25">
      <c r="V62" s="125" t="s">
        <v>271</v>
      </c>
    </row>
    <row r="63" spans="22:22" x14ac:dyDescent="0.25">
      <c r="V63" s="125" t="s">
        <v>272</v>
      </c>
    </row>
    <row r="64" spans="22:22" x14ac:dyDescent="0.25">
      <c r="V64" s="125" t="s">
        <v>273</v>
      </c>
    </row>
    <row r="65" spans="22:22" x14ac:dyDescent="0.25">
      <c r="V65" s="125" t="s">
        <v>274</v>
      </c>
    </row>
    <row r="66" spans="22:22" x14ac:dyDescent="0.25">
      <c r="V66" s="125" t="s">
        <v>275</v>
      </c>
    </row>
    <row r="67" spans="22:22" x14ac:dyDescent="0.25">
      <c r="V67" s="125" t="s">
        <v>276</v>
      </c>
    </row>
    <row r="68" spans="22:22" x14ac:dyDescent="0.25">
      <c r="V68" s="125" t="s">
        <v>277</v>
      </c>
    </row>
    <row r="69" spans="22:22" x14ac:dyDescent="0.25">
      <c r="V69" s="125" t="s">
        <v>278</v>
      </c>
    </row>
    <row r="70" spans="22:22" x14ac:dyDescent="0.25">
      <c r="V70" s="125" t="s">
        <v>279</v>
      </c>
    </row>
    <row r="71" spans="22:22" x14ac:dyDescent="0.25">
      <c r="V71" s="125" t="s">
        <v>280</v>
      </c>
    </row>
    <row r="72" spans="22:22" x14ac:dyDescent="0.25">
      <c r="V72" s="125" t="s">
        <v>281</v>
      </c>
    </row>
    <row r="73" spans="22:22" x14ac:dyDescent="0.25">
      <c r="V73" s="125" t="s">
        <v>282</v>
      </c>
    </row>
    <row r="74" spans="22:22" x14ac:dyDescent="0.25">
      <c r="V74" s="125" t="s">
        <v>283</v>
      </c>
    </row>
    <row r="75" spans="22:22" x14ac:dyDescent="0.25">
      <c r="V75" s="125" t="s">
        <v>284</v>
      </c>
    </row>
    <row r="76" spans="22:22" x14ac:dyDescent="0.25">
      <c r="V76" s="125" t="s">
        <v>285</v>
      </c>
    </row>
    <row r="77" spans="22:22" x14ac:dyDescent="0.25">
      <c r="V77" s="125" t="s">
        <v>286</v>
      </c>
    </row>
    <row r="78" spans="22:22" x14ac:dyDescent="0.25">
      <c r="V78" s="125" t="s">
        <v>287</v>
      </c>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hyperlinks>
    <hyperlink ref="F24" r:id="rId1"/>
  </hyperlinks>
  <printOptions horizontalCentered="1"/>
  <pageMargins left="0.5" right="0.5" top="1" bottom="0.5" header="0.25" footer="0.25"/>
  <pageSetup scale="65" orientation="landscape" r:id="rId2"/>
  <headerFooter>
    <oddHeader>&amp;RHaldimand County Hydro Inc.
EB-2013-0134
Settlement Proposal
APPENDIX L
Filed:  April 4, 2014
Page &amp;P of &amp;N</oddHeader>
  </headerFooter>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8:CR108"/>
  <sheetViews>
    <sheetView topLeftCell="A4" zoomScaleNormal="100" zoomScaleSheetLayoutView="50" workbookViewId="0">
      <pane xSplit="4" ySplit="19" topLeftCell="BZ59" activePane="bottomRight" state="frozen"/>
      <selection activeCell="B27" sqref="B27:M27"/>
      <selection pane="topRight" activeCell="B27" sqref="B27:M27"/>
      <selection pane="bottomLeft" activeCell="B27" sqref="B27:M27"/>
      <selection pane="bottomRight" activeCell="CC83" sqref="CC83"/>
    </sheetView>
  </sheetViews>
  <sheetFormatPr defaultColWidth="9.140625" defaultRowHeight="12.75" x14ac:dyDescent="0.2"/>
  <cols>
    <col min="1" max="1" width="9.140625" style="1" customWidth="1"/>
    <col min="2" max="2" width="2.85546875" style="1" bestFit="1" customWidth="1"/>
    <col min="3" max="3" width="86.42578125" style="1" customWidth="1"/>
    <col min="4" max="4" width="9.7109375" style="1" customWidth="1"/>
    <col min="5" max="5" width="16.140625" style="128" customWidth="1"/>
    <col min="6" max="6" width="23.140625" style="128" customWidth="1"/>
    <col min="7" max="8" width="18.42578125" style="128" customWidth="1"/>
    <col min="9" max="9" width="17.7109375" style="128" customWidth="1"/>
    <col min="10" max="10" width="14.140625" style="128" customWidth="1"/>
    <col min="11" max="13" width="14.85546875" style="128" customWidth="1"/>
    <col min="14" max="14" width="15.42578125" style="128" customWidth="1"/>
    <col min="15" max="15" width="16.140625" style="128" customWidth="1"/>
    <col min="16" max="16" width="23.140625" style="128" customWidth="1"/>
    <col min="17" max="18" width="18.42578125" style="128" customWidth="1"/>
    <col min="19" max="19" width="14.7109375" style="128" customWidth="1"/>
    <col min="20" max="20" width="14.140625" style="128" customWidth="1"/>
    <col min="21" max="23" width="14.85546875" style="128" customWidth="1"/>
    <col min="24" max="24" width="15.42578125" style="128" customWidth="1"/>
    <col min="25" max="25" width="16.140625" style="128" customWidth="1"/>
    <col min="26" max="26" width="23.140625" style="128" customWidth="1"/>
    <col min="27" max="28" width="18.42578125" style="128" customWidth="1"/>
    <col min="29" max="29" width="14.7109375" style="128" customWidth="1"/>
    <col min="30" max="30" width="14.140625" style="128" customWidth="1"/>
    <col min="31" max="33" width="14.85546875" style="128" customWidth="1"/>
    <col min="34" max="34" width="15.42578125" style="128" customWidth="1"/>
    <col min="35" max="35" width="16.140625" style="128" customWidth="1"/>
    <col min="36" max="36" width="23.140625" style="128" customWidth="1"/>
    <col min="37" max="38" width="18.42578125" style="128" customWidth="1"/>
    <col min="39" max="39" width="14.7109375" style="128" customWidth="1"/>
    <col min="40" max="40" width="14.140625" style="128" customWidth="1"/>
    <col min="41" max="43" width="14.85546875" style="128" customWidth="1"/>
    <col min="44" max="44" width="15.42578125" style="128" customWidth="1"/>
    <col min="45" max="45" width="16.140625" style="128" customWidth="1"/>
    <col min="46" max="46" width="23.140625" style="128" customWidth="1"/>
    <col min="47" max="48" width="18.42578125" style="128" customWidth="1"/>
    <col min="49" max="49" width="14.7109375" style="128" customWidth="1"/>
    <col min="50" max="50" width="14.140625" style="128" customWidth="1"/>
    <col min="51" max="53" width="14.85546875" style="128" customWidth="1"/>
    <col min="54" max="54" width="15.42578125" style="128" customWidth="1"/>
    <col min="55" max="55" width="16.140625" style="128" customWidth="1"/>
    <col min="56" max="56" width="23.140625" style="128" customWidth="1"/>
    <col min="57" max="58" width="18.42578125" style="128" customWidth="1"/>
    <col min="59" max="59" width="14.7109375" style="128" customWidth="1"/>
    <col min="60" max="60" width="14.140625" style="128" customWidth="1"/>
    <col min="61" max="63" width="14.85546875" style="128" customWidth="1"/>
    <col min="64" max="64" width="15.42578125" style="128" customWidth="1"/>
    <col min="65" max="65" width="16.140625" style="128" customWidth="1"/>
    <col min="66" max="66" width="23.140625" style="128" customWidth="1"/>
    <col min="67" max="68" width="18.42578125" style="128" customWidth="1"/>
    <col min="69" max="69" width="14.7109375" style="128" customWidth="1"/>
    <col min="70" max="70" width="14.140625" style="128" customWidth="1"/>
    <col min="71" max="73" width="14.85546875" style="128" customWidth="1"/>
    <col min="74" max="74" width="15.42578125" style="128" customWidth="1"/>
    <col min="75" max="75" width="16.140625" style="128" customWidth="1"/>
    <col min="76" max="76" width="23.140625" style="128" customWidth="1"/>
    <col min="77" max="81" width="18.42578125" style="128" customWidth="1"/>
    <col min="82" max="82" width="14.7109375" style="128" customWidth="1"/>
    <col min="83" max="83" width="14.140625" style="128" customWidth="1"/>
    <col min="84" max="86" width="14.85546875" style="128" customWidth="1"/>
    <col min="87" max="87" width="15.42578125" style="128" customWidth="1"/>
    <col min="88" max="89" width="14.85546875" style="128" customWidth="1"/>
    <col min="90" max="90" width="16.85546875" style="128" customWidth="1"/>
    <col min="91" max="91" width="17.28515625" style="128" customWidth="1"/>
    <col min="92" max="93" width="26.85546875" style="128" customWidth="1"/>
    <col min="94" max="94" width="22.28515625" style="128" bestFit="1" customWidth="1"/>
    <col min="95" max="95" width="22.42578125" style="128" bestFit="1" customWidth="1"/>
    <col min="96" max="96" width="19.85546875" style="128" customWidth="1"/>
    <col min="97" max="16384" width="9.140625" style="1"/>
  </cols>
  <sheetData>
    <row r="18" spans="1:96" ht="15.75" thickBot="1" x14ac:dyDescent="0.35">
      <c r="C18" s="3"/>
    </row>
    <row r="19" spans="1:96" s="198" customFormat="1" ht="29.25" thickBot="1" x14ac:dyDescent="0.5">
      <c r="C19" s="199"/>
      <c r="D19" s="200"/>
      <c r="E19" s="252">
        <v>2005</v>
      </c>
      <c r="F19" s="253"/>
      <c r="G19" s="253"/>
      <c r="H19" s="253"/>
      <c r="I19" s="253"/>
      <c r="J19" s="253"/>
      <c r="K19" s="253"/>
      <c r="L19" s="253"/>
      <c r="M19" s="253"/>
      <c r="N19" s="254"/>
      <c r="O19" s="252">
        <v>2006</v>
      </c>
      <c r="P19" s="253"/>
      <c r="Q19" s="253"/>
      <c r="R19" s="253"/>
      <c r="S19" s="253"/>
      <c r="T19" s="253"/>
      <c r="U19" s="253"/>
      <c r="V19" s="253"/>
      <c r="W19" s="253"/>
      <c r="X19" s="254"/>
      <c r="Y19" s="252">
        <v>2007</v>
      </c>
      <c r="Z19" s="253"/>
      <c r="AA19" s="253"/>
      <c r="AB19" s="253"/>
      <c r="AC19" s="253"/>
      <c r="AD19" s="253"/>
      <c r="AE19" s="253"/>
      <c r="AF19" s="253"/>
      <c r="AG19" s="253"/>
      <c r="AH19" s="254"/>
      <c r="AI19" s="252">
        <v>2008</v>
      </c>
      <c r="AJ19" s="253"/>
      <c r="AK19" s="253"/>
      <c r="AL19" s="253"/>
      <c r="AM19" s="253"/>
      <c r="AN19" s="253"/>
      <c r="AO19" s="253"/>
      <c r="AP19" s="253"/>
      <c r="AQ19" s="253"/>
      <c r="AR19" s="254"/>
      <c r="AS19" s="252">
        <v>2009</v>
      </c>
      <c r="AT19" s="253"/>
      <c r="AU19" s="253"/>
      <c r="AV19" s="253"/>
      <c r="AW19" s="253"/>
      <c r="AX19" s="253"/>
      <c r="AY19" s="253"/>
      <c r="AZ19" s="253"/>
      <c r="BA19" s="253"/>
      <c r="BB19" s="254"/>
      <c r="BC19" s="252">
        <v>2010</v>
      </c>
      <c r="BD19" s="253"/>
      <c r="BE19" s="253"/>
      <c r="BF19" s="253"/>
      <c r="BG19" s="253"/>
      <c r="BH19" s="253"/>
      <c r="BI19" s="253"/>
      <c r="BJ19" s="253"/>
      <c r="BK19" s="253"/>
      <c r="BL19" s="254"/>
      <c r="BM19" s="252">
        <v>2011</v>
      </c>
      <c r="BN19" s="253"/>
      <c r="BO19" s="253"/>
      <c r="BP19" s="253"/>
      <c r="BQ19" s="253"/>
      <c r="BR19" s="253"/>
      <c r="BS19" s="253"/>
      <c r="BT19" s="253"/>
      <c r="BU19" s="253"/>
      <c r="BV19" s="254"/>
      <c r="BW19" s="252">
        <v>2012</v>
      </c>
      <c r="BX19" s="253"/>
      <c r="BY19" s="253"/>
      <c r="BZ19" s="253"/>
      <c r="CA19" s="253"/>
      <c r="CB19" s="253"/>
      <c r="CC19" s="253"/>
      <c r="CD19" s="253"/>
      <c r="CE19" s="253"/>
      <c r="CF19" s="253"/>
      <c r="CG19" s="253"/>
      <c r="CH19" s="253"/>
      <c r="CI19" s="254"/>
      <c r="CJ19" s="252">
        <v>2013</v>
      </c>
      <c r="CK19" s="253"/>
      <c r="CL19" s="253"/>
      <c r="CM19" s="254"/>
      <c r="CN19" s="249" t="s">
        <v>192</v>
      </c>
      <c r="CO19" s="250"/>
      <c r="CP19" s="251"/>
      <c r="CQ19" s="201" t="s">
        <v>49</v>
      </c>
      <c r="CR19" s="202"/>
    </row>
    <row r="20" spans="1:96" ht="14.25" customHeight="1" x14ac:dyDescent="0.2">
      <c r="C20" s="258" t="s">
        <v>40</v>
      </c>
      <c r="D20" s="261" t="s">
        <v>0</v>
      </c>
      <c r="E20" s="241" t="s">
        <v>73</v>
      </c>
      <c r="F20" s="235" t="s">
        <v>98</v>
      </c>
      <c r="G20" s="235" t="s">
        <v>51</v>
      </c>
      <c r="H20" s="235" t="s">
        <v>91</v>
      </c>
      <c r="I20" s="235" t="s">
        <v>10</v>
      </c>
      <c r="J20" s="235" t="s">
        <v>8</v>
      </c>
      <c r="K20" s="235" t="s">
        <v>42</v>
      </c>
      <c r="L20" s="235" t="s">
        <v>51</v>
      </c>
      <c r="M20" s="235" t="s">
        <v>91</v>
      </c>
      <c r="N20" s="238" t="s">
        <v>9</v>
      </c>
      <c r="O20" s="241" t="s">
        <v>74</v>
      </c>
      <c r="P20" s="235" t="s">
        <v>99</v>
      </c>
      <c r="Q20" s="235" t="s">
        <v>89</v>
      </c>
      <c r="R20" s="235" t="s">
        <v>92</v>
      </c>
      <c r="S20" s="235" t="s">
        <v>11</v>
      </c>
      <c r="T20" s="235" t="s">
        <v>12</v>
      </c>
      <c r="U20" s="235" t="s">
        <v>43</v>
      </c>
      <c r="V20" s="235" t="s">
        <v>89</v>
      </c>
      <c r="W20" s="235" t="s">
        <v>92</v>
      </c>
      <c r="X20" s="238" t="s">
        <v>13</v>
      </c>
      <c r="Y20" s="241" t="s">
        <v>75</v>
      </c>
      <c r="Z20" s="235" t="s">
        <v>100</v>
      </c>
      <c r="AA20" s="235" t="s">
        <v>52</v>
      </c>
      <c r="AB20" s="235" t="s">
        <v>93</v>
      </c>
      <c r="AC20" s="235" t="s">
        <v>23</v>
      </c>
      <c r="AD20" s="235" t="s">
        <v>25</v>
      </c>
      <c r="AE20" s="235" t="s">
        <v>44</v>
      </c>
      <c r="AF20" s="235" t="s">
        <v>52</v>
      </c>
      <c r="AG20" s="235" t="s">
        <v>93</v>
      </c>
      <c r="AH20" s="238" t="s">
        <v>24</v>
      </c>
      <c r="AI20" s="241" t="s">
        <v>76</v>
      </c>
      <c r="AJ20" s="235" t="s">
        <v>101</v>
      </c>
      <c r="AK20" s="235" t="s">
        <v>53</v>
      </c>
      <c r="AL20" s="235" t="s">
        <v>94</v>
      </c>
      <c r="AM20" s="235" t="s">
        <v>26</v>
      </c>
      <c r="AN20" s="235" t="s">
        <v>27</v>
      </c>
      <c r="AO20" s="235" t="s">
        <v>45</v>
      </c>
      <c r="AP20" s="235" t="s">
        <v>53</v>
      </c>
      <c r="AQ20" s="235" t="s">
        <v>94</v>
      </c>
      <c r="AR20" s="238" t="s">
        <v>28</v>
      </c>
      <c r="AS20" s="241" t="s">
        <v>77</v>
      </c>
      <c r="AT20" s="235" t="s">
        <v>102</v>
      </c>
      <c r="AU20" s="235" t="s">
        <v>54</v>
      </c>
      <c r="AV20" s="235" t="s">
        <v>95</v>
      </c>
      <c r="AW20" s="235" t="s">
        <v>29</v>
      </c>
      <c r="AX20" s="235" t="s">
        <v>30</v>
      </c>
      <c r="AY20" s="235" t="s">
        <v>46</v>
      </c>
      <c r="AZ20" s="235" t="s">
        <v>54</v>
      </c>
      <c r="BA20" s="235" t="s">
        <v>95</v>
      </c>
      <c r="BB20" s="238" t="s">
        <v>31</v>
      </c>
      <c r="BC20" s="241" t="s">
        <v>78</v>
      </c>
      <c r="BD20" s="235" t="s">
        <v>103</v>
      </c>
      <c r="BE20" s="235" t="s">
        <v>55</v>
      </c>
      <c r="BF20" s="235" t="s">
        <v>96</v>
      </c>
      <c r="BG20" s="235" t="s">
        <v>36</v>
      </c>
      <c r="BH20" s="235" t="s">
        <v>37</v>
      </c>
      <c r="BI20" s="235" t="s">
        <v>47</v>
      </c>
      <c r="BJ20" s="235" t="s">
        <v>55</v>
      </c>
      <c r="BK20" s="235" t="s">
        <v>96</v>
      </c>
      <c r="BL20" s="238" t="s">
        <v>38</v>
      </c>
      <c r="BM20" s="241" t="s">
        <v>80</v>
      </c>
      <c r="BN20" s="235" t="s">
        <v>104</v>
      </c>
      <c r="BO20" s="235" t="s">
        <v>81</v>
      </c>
      <c r="BP20" s="235" t="s">
        <v>96</v>
      </c>
      <c r="BQ20" s="235" t="s">
        <v>82</v>
      </c>
      <c r="BR20" s="235" t="s">
        <v>83</v>
      </c>
      <c r="BS20" s="235" t="s">
        <v>84</v>
      </c>
      <c r="BT20" s="235" t="s">
        <v>81</v>
      </c>
      <c r="BU20" s="235" t="s">
        <v>97</v>
      </c>
      <c r="BV20" s="238" t="s">
        <v>85</v>
      </c>
      <c r="BW20" s="241" t="s">
        <v>174</v>
      </c>
      <c r="BX20" s="235" t="s">
        <v>175</v>
      </c>
      <c r="BY20" s="235" t="s">
        <v>176</v>
      </c>
      <c r="BZ20" s="235" t="s">
        <v>177</v>
      </c>
      <c r="CA20" s="235" t="s">
        <v>178</v>
      </c>
      <c r="CB20" s="235" t="s">
        <v>179</v>
      </c>
      <c r="CC20" s="235" t="s">
        <v>180</v>
      </c>
      <c r="CD20" s="235" t="s">
        <v>181</v>
      </c>
      <c r="CE20" s="235" t="s">
        <v>182</v>
      </c>
      <c r="CF20" s="235" t="s">
        <v>183</v>
      </c>
      <c r="CG20" s="235" t="s">
        <v>176</v>
      </c>
      <c r="CH20" s="235" t="s">
        <v>184</v>
      </c>
      <c r="CI20" s="238" t="s">
        <v>185</v>
      </c>
      <c r="CJ20" s="235" t="s">
        <v>186</v>
      </c>
      <c r="CK20" s="235" t="s">
        <v>187</v>
      </c>
      <c r="CL20" s="232" t="s">
        <v>188</v>
      </c>
      <c r="CM20" s="232" t="s">
        <v>189</v>
      </c>
      <c r="CN20" s="241" t="s">
        <v>190</v>
      </c>
      <c r="CO20" s="235" t="s">
        <v>191</v>
      </c>
      <c r="CP20" s="238" t="s">
        <v>48</v>
      </c>
      <c r="CQ20" s="246" t="s">
        <v>193</v>
      </c>
      <c r="CR20" s="238" t="s">
        <v>194</v>
      </c>
    </row>
    <row r="21" spans="1:96" ht="24.75" customHeight="1" x14ac:dyDescent="0.2">
      <c r="C21" s="259"/>
      <c r="D21" s="262"/>
      <c r="E21" s="242"/>
      <c r="F21" s="244"/>
      <c r="G21" s="236"/>
      <c r="H21" s="236"/>
      <c r="I21" s="236"/>
      <c r="J21" s="244"/>
      <c r="K21" s="236"/>
      <c r="L21" s="236"/>
      <c r="M21" s="236"/>
      <c r="N21" s="239"/>
      <c r="O21" s="242"/>
      <c r="P21" s="244"/>
      <c r="Q21" s="236"/>
      <c r="R21" s="236"/>
      <c r="S21" s="236"/>
      <c r="T21" s="244"/>
      <c r="U21" s="236"/>
      <c r="V21" s="236"/>
      <c r="W21" s="236"/>
      <c r="X21" s="239"/>
      <c r="Y21" s="242"/>
      <c r="Z21" s="244"/>
      <c r="AA21" s="236"/>
      <c r="AB21" s="236"/>
      <c r="AC21" s="236"/>
      <c r="AD21" s="244"/>
      <c r="AE21" s="236"/>
      <c r="AF21" s="236"/>
      <c r="AG21" s="236"/>
      <c r="AH21" s="239"/>
      <c r="AI21" s="242"/>
      <c r="AJ21" s="244"/>
      <c r="AK21" s="236"/>
      <c r="AL21" s="236"/>
      <c r="AM21" s="236"/>
      <c r="AN21" s="244"/>
      <c r="AO21" s="236"/>
      <c r="AP21" s="236"/>
      <c r="AQ21" s="236"/>
      <c r="AR21" s="239"/>
      <c r="AS21" s="242"/>
      <c r="AT21" s="244"/>
      <c r="AU21" s="236"/>
      <c r="AV21" s="236"/>
      <c r="AW21" s="236"/>
      <c r="AX21" s="244"/>
      <c r="AY21" s="236"/>
      <c r="AZ21" s="236"/>
      <c r="BA21" s="236"/>
      <c r="BB21" s="239"/>
      <c r="BC21" s="242"/>
      <c r="BD21" s="244"/>
      <c r="BE21" s="236"/>
      <c r="BF21" s="236"/>
      <c r="BG21" s="236"/>
      <c r="BH21" s="244"/>
      <c r="BI21" s="236"/>
      <c r="BJ21" s="236"/>
      <c r="BK21" s="236"/>
      <c r="BL21" s="239"/>
      <c r="BM21" s="242"/>
      <c r="BN21" s="244"/>
      <c r="BO21" s="236"/>
      <c r="BP21" s="236"/>
      <c r="BQ21" s="236"/>
      <c r="BR21" s="244"/>
      <c r="BS21" s="236"/>
      <c r="BT21" s="236"/>
      <c r="BU21" s="236"/>
      <c r="BV21" s="239"/>
      <c r="BW21" s="242"/>
      <c r="BX21" s="244"/>
      <c r="BY21" s="236"/>
      <c r="BZ21" s="236"/>
      <c r="CA21" s="236"/>
      <c r="CB21" s="236"/>
      <c r="CC21" s="236"/>
      <c r="CD21" s="236"/>
      <c r="CE21" s="244"/>
      <c r="CF21" s="236"/>
      <c r="CG21" s="236"/>
      <c r="CH21" s="236"/>
      <c r="CI21" s="239"/>
      <c r="CJ21" s="236"/>
      <c r="CK21" s="236"/>
      <c r="CL21" s="233"/>
      <c r="CM21" s="233"/>
      <c r="CN21" s="242"/>
      <c r="CO21" s="244"/>
      <c r="CP21" s="239"/>
      <c r="CQ21" s="247"/>
      <c r="CR21" s="239"/>
    </row>
    <row r="22" spans="1:96" ht="36.75" customHeight="1" thickBot="1" x14ac:dyDescent="0.25">
      <c r="B22" s="21"/>
      <c r="C22" s="260"/>
      <c r="D22" s="263"/>
      <c r="E22" s="243"/>
      <c r="F22" s="245"/>
      <c r="G22" s="237"/>
      <c r="H22" s="237"/>
      <c r="I22" s="237"/>
      <c r="J22" s="245"/>
      <c r="K22" s="237"/>
      <c r="L22" s="237"/>
      <c r="M22" s="237"/>
      <c r="N22" s="240"/>
      <c r="O22" s="243"/>
      <c r="P22" s="245"/>
      <c r="Q22" s="237"/>
      <c r="R22" s="237"/>
      <c r="S22" s="237"/>
      <c r="T22" s="245"/>
      <c r="U22" s="237"/>
      <c r="V22" s="237"/>
      <c r="W22" s="237"/>
      <c r="X22" s="240"/>
      <c r="Y22" s="243"/>
      <c r="Z22" s="245"/>
      <c r="AA22" s="237"/>
      <c r="AB22" s="237"/>
      <c r="AC22" s="237"/>
      <c r="AD22" s="245"/>
      <c r="AE22" s="237"/>
      <c r="AF22" s="237"/>
      <c r="AG22" s="237"/>
      <c r="AH22" s="240"/>
      <c r="AI22" s="243"/>
      <c r="AJ22" s="245"/>
      <c r="AK22" s="237"/>
      <c r="AL22" s="237"/>
      <c r="AM22" s="237"/>
      <c r="AN22" s="245"/>
      <c r="AO22" s="237"/>
      <c r="AP22" s="237"/>
      <c r="AQ22" s="237"/>
      <c r="AR22" s="240"/>
      <c r="AS22" s="243"/>
      <c r="AT22" s="245"/>
      <c r="AU22" s="237"/>
      <c r="AV22" s="237"/>
      <c r="AW22" s="237"/>
      <c r="AX22" s="245"/>
      <c r="AY22" s="237"/>
      <c r="AZ22" s="237"/>
      <c r="BA22" s="237"/>
      <c r="BB22" s="240"/>
      <c r="BC22" s="243"/>
      <c r="BD22" s="245"/>
      <c r="BE22" s="237"/>
      <c r="BF22" s="237"/>
      <c r="BG22" s="237"/>
      <c r="BH22" s="245"/>
      <c r="BI22" s="237"/>
      <c r="BJ22" s="237"/>
      <c r="BK22" s="237"/>
      <c r="BL22" s="240"/>
      <c r="BM22" s="243"/>
      <c r="BN22" s="245"/>
      <c r="BO22" s="237"/>
      <c r="BP22" s="237"/>
      <c r="BQ22" s="237"/>
      <c r="BR22" s="245"/>
      <c r="BS22" s="237"/>
      <c r="BT22" s="237"/>
      <c r="BU22" s="237"/>
      <c r="BV22" s="240"/>
      <c r="BW22" s="243"/>
      <c r="BX22" s="245"/>
      <c r="BY22" s="237"/>
      <c r="BZ22" s="237"/>
      <c r="CA22" s="237"/>
      <c r="CB22" s="237"/>
      <c r="CC22" s="237"/>
      <c r="CD22" s="237"/>
      <c r="CE22" s="245"/>
      <c r="CF22" s="237"/>
      <c r="CG22" s="237"/>
      <c r="CH22" s="237"/>
      <c r="CI22" s="240"/>
      <c r="CJ22" s="237"/>
      <c r="CK22" s="237"/>
      <c r="CL22" s="234"/>
      <c r="CM22" s="234"/>
      <c r="CN22" s="243"/>
      <c r="CO22" s="245"/>
      <c r="CP22" s="240" t="s">
        <v>22</v>
      </c>
      <c r="CQ22" s="248"/>
      <c r="CR22" s="240"/>
    </row>
    <row r="23" spans="1:96" ht="33.75" customHeight="1" thickBot="1" x14ac:dyDescent="0.25">
      <c r="C23" s="59" t="s">
        <v>60</v>
      </c>
      <c r="D23" s="5"/>
      <c r="E23" s="129"/>
      <c r="F23" s="130"/>
      <c r="G23" s="131"/>
      <c r="H23" s="131"/>
      <c r="I23" s="131"/>
      <c r="J23" s="131"/>
      <c r="K23" s="131"/>
      <c r="L23" s="131"/>
      <c r="M23" s="131"/>
      <c r="N23" s="132"/>
      <c r="O23" s="129"/>
      <c r="P23" s="130"/>
      <c r="Q23" s="131"/>
      <c r="R23" s="131"/>
      <c r="S23" s="131"/>
      <c r="T23" s="131"/>
      <c r="U23" s="131"/>
      <c r="V23" s="131"/>
      <c r="W23" s="131"/>
      <c r="X23" s="132"/>
      <c r="Y23" s="129"/>
      <c r="Z23" s="130"/>
      <c r="AA23" s="131"/>
      <c r="AB23" s="131"/>
      <c r="AC23" s="131"/>
      <c r="AD23" s="131"/>
      <c r="AE23" s="131"/>
      <c r="AF23" s="131"/>
      <c r="AG23" s="131"/>
      <c r="AH23" s="132"/>
      <c r="AI23" s="129"/>
      <c r="AJ23" s="130"/>
      <c r="AK23" s="131"/>
      <c r="AL23" s="131"/>
      <c r="AM23" s="131"/>
      <c r="AN23" s="131"/>
      <c r="AO23" s="131"/>
      <c r="AP23" s="131"/>
      <c r="AQ23" s="131"/>
      <c r="AR23" s="132"/>
      <c r="AS23" s="129"/>
      <c r="AT23" s="130"/>
      <c r="AU23" s="131"/>
      <c r="AV23" s="131"/>
      <c r="AW23" s="131"/>
      <c r="AX23" s="131"/>
      <c r="AY23" s="131"/>
      <c r="AZ23" s="131"/>
      <c r="BA23" s="131"/>
      <c r="BB23" s="132"/>
      <c r="BC23" s="129"/>
      <c r="BD23" s="130"/>
      <c r="BE23" s="131"/>
      <c r="BF23" s="131"/>
      <c r="BG23" s="131"/>
      <c r="BH23" s="131"/>
      <c r="BI23" s="131"/>
      <c r="BJ23" s="131"/>
      <c r="BK23" s="131"/>
      <c r="BL23" s="132"/>
      <c r="BM23" s="129"/>
      <c r="BN23" s="130"/>
      <c r="BO23" s="131"/>
      <c r="BP23" s="131"/>
      <c r="BQ23" s="131"/>
      <c r="BR23" s="131"/>
      <c r="BS23" s="131"/>
      <c r="BT23" s="131"/>
      <c r="BU23" s="131"/>
      <c r="BV23" s="132"/>
      <c r="BW23" s="129"/>
      <c r="BX23" s="130"/>
      <c r="BY23" s="131"/>
      <c r="BZ23" s="131"/>
      <c r="CA23" s="131"/>
      <c r="CB23" s="131"/>
      <c r="CC23" s="131"/>
      <c r="CD23" s="131"/>
      <c r="CE23" s="131"/>
      <c r="CF23" s="131"/>
      <c r="CG23" s="131"/>
      <c r="CH23" s="131"/>
      <c r="CI23" s="132"/>
      <c r="CJ23" s="133"/>
      <c r="CK23" s="134"/>
      <c r="CL23" s="131"/>
      <c r="CM23" s="135"/>
      <c r="CN23" s="136"/>
      <c r="CO23" s="136"/>
      <c r="CP23" s="137"/>
      <c r="CQ23" s="138"/>
      <c r="CR23" s="139"/>
    </row>
    <row r="24" spans="1:96" ht="15" customHeight="1" thickBot="1" x14ac:dyDescent="0.25">
      <c r="A24" s="1">
        <v>1</v>
      </c>
      <c r="C24" s="5" t="s">
        <v>62</v>
      </c>
      <c r="D24" s="8">
        <v>1550</v>
      </c>
      <c r="E24" s="140"/>
      <c r="F24" s="141"/>
      <c r="G24" s="141"/>
      <c r="H24" s="141"/>
      <c r="I24" s="142">
        <f>E24+F24-G24+H24</f>
        <v>0</v>
      </c>
      <c r="J24" s="141"/>
      <c r="K24" s="141"/>
      <c r="L24" s="141"/>
      <c r="M24" s="141"/>
      <c r="N24" s="143">
        <f>J24+K24-L24+M24</f>
        <v>0</v>
      </c>
      <c r="O24" s="144">
        <f>I24</f>
        <v>0</v>
      </c>
      <c r="P24" s="141"/>
      <c r="Q24" s="141"/>
      <c r="R24" s="141"/>
      <c r="S24" s="142">
        <f>O24+P24-Q24+R24</f>
        <v>0</v>
      </c>
      <c r="T24" s="145">
        <f>N24</f>
        <v>0</v>
      </c>
      <c r="U24" s="141"/>
      <c r="V24" s="141"/>
      <c r="W24" s="141"/>
      <c r="X24" s="143">
        <f>T24+U24-V24+W24</f>
        <v>0</v>
      </c>
      <c r="Y24" s="144">
        <f>S24</f>
        <v>0</v>
      </c>
      <c r="Z24" s="141"/>
      <c r="AA24" s="141"/>
      <c r="AB24" s="141"/>
      <c r="AC24" s="142">
        <f>Y24+Z24-AA24+AB24</f>
        <v>0</v>
      </c>
      <c r="AD24" s="145">
        <f>X24</f>
        <v>0</v>
      </c>
      <c r="AE24" s="141"/>
      <c r="AF24" s="141"/>
      <c r="AG24" s="141"/>
      <c r="AH24" s="143">
        <f>AD24+AE24-AF24+AG24</f>
        <v>0</v>
      </c>
      <c r="AI24" s="144">
        <f>AC24</f>
        <v>0</v>
      </c>
      <c r="AJ24" s="141"/>
      <c r="AK24" s="141"/>
      <c r="AL24" s="141"/>
      <c r="AM24" s="142">
        <f>AI24+AJ24-AK24+AL24</f>
        <v>0</v>
      </c>
      <c r="AN24" s="145">
        <f>AH24</f>
        <v>0</v>
      </c>
      <c r="AO24" s="141"/>
      <c r="AP24" s="141"/>
      <c r="AQ24" s="141"/>
      <c r="AR24" s="143">
        <f>AN24+AO24-AP24+AQ24</f>
        <v>0</v>
      </c>
      <c r="AS24" s="144">
        <f>AM24</f>
        <v>0</v>
      </c>
      <c r="AT24" s="141"/>
      <c r="AU24" s="141"/>
      <c r="AV24" s="141"/>
      <c r="AW24" s="142">
        <f>AS24+AT24-AU24+AV24</f>
        <v>0</v>
      </c>
      <c r="AX24" s="145">
        <f>AR24</f>
        <v>0</v>
      </c>
      <c r="AY24" s="141"/>
      <c r="AZ24" s="141"/>
      <c r="BA24" s="141"/>
      <c r="BB24" s="143">
        <f>AX24+AY24-AZ24+BA24</f>
        <v>0</v>
      </c>
      <c r="BC24" s="144">
        <f>AW24</f>
        <v>0</v>
      </c>
      <c r="BD24" s="141"/>
      <c r="BE24" s="141"/>
      <c r="BF24" s="141"/>
      <c r="BG24" s="142">
        <f>BC24+BD24-BE24+BF24</f>
        <v>0</v>
      </c>
      <c r="BH24" s="145">
        <f>BB24</f>
        <v>0</v>
      </c>
      <c r="BI24" s="141"/>
      <c r="BJ24" s="141"/>
      <c r="BK24" s="141"/>
      <c r="BL24" s="143">
        <f>BH24+BI24-BJ24+BK24</f>
        <v>0</v>
      </c>
      <c r="BM24" s="144">
        <f>BG24</f>
        <v>0</v>
      </c>
      <c r="BN24" s="141"/>
      <c r="BO24" s="141"/>
      <c r="BP24" s="141">
        <f>-110992.38-61.49</f>
        <v>-111053.87000000001</v>
      </c>
      <c r="BQ24" s="142">
        <f t="shared" ref="BQ24:BQ34" si="0">BM24+BN24-BO24+SUM(BP24:BP24)</f>
        <v>-111053.87000000001</v>
      </c>
      <c r="BR24" s="145">
        <f t="shared" ref="BR24:BR34" si="1">BL24</f>
        <v>0</v>
      </c>
      <c r="BS24" s="141"/>
      <c r="BT24" s="141"/>
      <c r="BU24" s="141">
        <f>-2371.97</f>
        <v>-2371.9699999999998</v>
      </c>
      <c r="BV24" s="143">
        <f>BR24+BS24-BT24+BU24</f>
        <v>-2371.9699999999998</v>
      </c>
      <c r="BW24" s="144">
        <f>BQ24</f>
        <v>-111053.87000000001</v>
      </c>
      <c r="BX24" s="141">
        <f>-20778.56</f>
        <v>-20778.560000000001</v>
      </c>
      <c r="BY24" s="141">
        <v>-79821.23</v>
      </c>
      <c r="BZ24" s="141"/>
      <c r="CA24" s="141"/>
      <c r="CB24" s="141"/>
      <c r="CC24" s="141"/>
      <c r="CD24" s="142">
        <f>BW24+BX24-BY24+SUM(BZ24:CC24)</f>
        <v>-52011.200000000026</v>
      </c>
      <c r="CE24" s="145">
        <f>BV24</f>
        <v>-2371.9699999999998</v>
      </c>
      <c r="CF24" s="141">
        <v>-891.69</v>
      </c>
      <c r="CG24" s="141">
        <v>-2530.4899999999998</v>
      </c>
      <c r="CH24" s="141"/>
      <c r="CI24" s="143">
        <f>CE24+CF24-CG24+CH24</f>
        <v>-733.17000000000007</v>
      </c>
      <c r="CJ24" s="140">
        <v>-31232.639999999999</v>
      </c>
      <c r="CK24" s="141">
        <v>-453.64</v>
      </c>
      <c r="CL24" s="145">
        <f>CD24-CJ24</f>
        <v>-20778.560000000027</v>
      </c>
      <c r="CM24" s="146">
        <f>CI24-CK24</f>
        <v>-279.53000000000009</v>
      </c>
      <c r="CN24" s="147">
        <f>ROUND(CL24*1.47%,2)</f>
        <v>-305.44</v>
      </c>
      <c r="CO24" s="141">
        <f>ROUND(CL24*1.47%*4/12,2)</f>
        <v>-101.81</v>
      </c>
      <c r="CP24" s="137">
        <f>SUM(CL24:CO24)</f>
        <v>-21465.340000000026</v>
      </c>
      <c r="CQ24" s="148">
        <v>-52744.37</v>
      </c>
      <c r="CR24" s="137">
        <f>CQ24-SUM(CD24,CI24)</f>
        <v>0</v>
      </c>
    </row>
    <row r="25" spans="1:96" ht="15" thickBot="1" x14ac:dyDescent="0.25">
      <c r="A25" s="1">
        <v>2</v>
      </c>
      <c r="C25" s="9" t="s">
        <v>1</v>
      </c>
      <c r="D25" s="8">
        <v>1580</v>
      </c>
      <c r="E25" s="140"/>
      <c r="F25" s="141"/>
      <c r="G25" s="141"/>
      <c r="H25" s="141"/>
      <c r="I25" s="142">
        <f t="shared" ref="I25:I32" si="2">E25+F25-G25+H25</f>
        <v>0</v>
      </c>
      <c r="J25" s="141"/>
      <c r="K25" s="141"/>
      <c r="L25" s="141"/>
      <c r="M25" s="141"/>
      <c r="N25" s="143">
        <f t="shared" ref="N25:N32" si="3">J25+K25-L25+M25</f>
        <v>0</v>
      </c>
      <c r="O25" s="144">
        <f t="shared" ref="O25:O32" si="4">I25</f>
        <v>0</v>
      </c>
      <c r="P25" s="141"/>
      <c r="Q25" s="141"/>
      <c r="R25" s="141"/>
      <c r="S25" s="142">
        <f t="shared" ref="S25:S32" si="5">O25+P25-Q25+R25</f>
        <v>0</v>
      </c>
      <c r="T25" s="145">
        <f t="shared" ref="T25:T32" si="6">N25</f>
        <v>0</v>
      </c>
      <c r="U25" s="141"/>
      <c r="V25" s="141"/>
      <c r="W25" s="141"/>
      <c r="X25" s="143">
        <f t="shared" ref="X25:X32" si="7">T25+U25-V25+W25</f>
        <v>0</v>
      </c>
      <c r="Y25" s="144">
        <f t="shared" ref="Y25:Y32" si="8">S25</f>
        <v>0</v>
      </c>
      <c r="Z25" s="141"/>
      <c r="AA25" s="141"/>
      <c r="AB25" s="141"/>
      <c r="AC25" s="142">
        <f t="shared" ref="AC25:AC32" si="9">Y25+Z25-AA25+AB25</f>
        <v>0</v>
      </c>
      <c r="AD25" s="145">
        <f t="shared" ref="AD25:AD32" si="10">X25</f>
        <v>0</v>
      </c>
      <c r="AE25" s="141"/>
      <c r="AF25" s="141"/>
      <c r="AG25" s="141"/>
      <c r="AH25" s="143">
        <f t="shared" ref="AH25:AH32" si="11">AD25+AE25-AF25+AG25</f>
        <v>0</v>
      </c>
      <c r="AI25" s="144">
        <f t="shared" ref="AI25:AI32" si="12">AC25</f>
        <v>0</v>
      </c>
      <c r="AJ25" s="141"/>
      <c r="AK25" s="141"/>
      <c r="AL25" s="141"/>
      <c r="AM25" s="142">
        <f t="shared" ref="AM25:AM32" si="13">AI25+AJ25-AK25+AL25</f>
        <v>0</v>
      </c>
      <c r="AN25" s="145">
        <f t="shared" ref="AN25:AN32" si="14">AH25</f>
        <v>0</v>
      </c>
      <c r="AO25" s="141"/>
      <c r="AP25" s="141"/>
      <c r="AQ25" s="141"/>
      <c r="AR25" s="143">
        <f t="shared" ref="AR25:AR32" si="15">AN25+AO25-AP25+AQ25</f>
        <v>0</v>
      </c>
      <c r="AS25" s="144">
        <f t="shared" ref="AS25:AS32" si="16">AM25</f>
        <v>0</v>
      </c>
      <c r="AT25" s="141"/>
      <c r="AU25" s="141"/>
      <c r="AV25" s="141"/>
      <c r="AW25" s="142">
        <f t="shared" ref="AW25:AW32" si="17">AS25+AT25-AU25+AV25</f>
        <v>0</v>
      </c>
      <c r="AX25" s="145">
        <f t="shared" ref="AX25:AX32" si="18">AR25</f>
        <v>0</v>
      </c>
      <c r="AY25" s="141"/>
      <c r="AZ25" s="141"/>
      <c r="BA25" s="141"/>
      <c r="BB25" s="143">
        <f t="shared" ref="BB25:BB32" si="19">AX25+AY25-AZ25+BA25</f>
        <v>0</v>
      </c>
      <c r="BC25" s="144">
        <f t="shared" ref="BC25:BC32" si="20">AW25</f>
        <v>0</v>
      </c>
      <c r="BD25" s="141"/>
      <c r="BE25" s="141"/>
      <c r="BF25" s="141"/>
      <c r="BG25" s="142">
        <f t="shared" ref="BG25:BG33" si="21">BC25+BD25-BE25+SUM(BF25:BF25)</f>
        <v>0</v>
      </c>
      <c r="BH25" s="145">
        <f t="shared" ref="BH25:BH32" si="22">BB25</f>
        <v>0</v>
      </c>
      <c r="BI25" s="141"/>
      <c r="BJ25" s="141"/>
      <c r="BK25" s="141"/>
      <c r="BL25" s="143">
        <f t="shared" ref="BL25:BL32" si="23">BH25+BI25-BJ25+BK25</f>
        <v>0</v>
      </c>
      <c r="BM25" s="144">
        <f t="shared" ref="BM25:BM30" si="24">BG25</f>
        <v>0</v>
      </c>
      <c r="BN25" s="141"/>
      <c r="BO25" s="141"/>
      <c r="BP25" s="141">
        <f>-975034.88-11219.65-69868.23-2804.93</f>
        <v>-1058927.69</v>
      </c>
      <c r="BQ25" s="142">
        <f t="shared" si="0"/>
        <v>-1058927.69</v>
      </c>
      <c r="BR25" s="145">
        <f t="shared" si="1"/>
        <v>0</v>
      </c>
      <c r="BS25" s="141"/>
      <c r="BT25" s="141"/>
      <c r="BU25" s="141">
        <f>-13307.19-1004.17</f>
        <v>-14311.36</v>
      </c>
      <c r="BV25" s="143">
        <f t="shared" ref="BV25:BV32" si="25">BR25+BS25-BT25+BU25</f>
        <v>-14311.36</v>
      </c>
      <c r="BW25" s="144">
        <f t="shared" ref="BW25:BW30" si="26">BQ25</f>
        <v>-1058927.69</v>
      </c>
      <c r="BX25" s="141">
        <f>-581117.44-40081.21</f>
        <v>-621198.64999999991</v>
      </c>
      <c r="BY25" s="141">
        <f>-485270.77-31687.16</f>
        <v>-516957.93</v>
      </c>
      <c r="BZ25" s="141"/>
      <c r="CA25" s="141"/>
      <c r="CB25" s="141"/>
      <c r="CC25" s="141"/>
      <c r="CD25" s="142">
        <f t="shared" ref="CD25:CD32" si="27">BW25+BX25-BY25+SUM(BZ25:CC25)</f>
        <v>-1163168.4099999999</v>
      </c>
      <c r="CE25" s="145">
        <f t="shared" ref="CE25:CE30" si="28">BV25</f>
        <v>-14311.36</v>
      </c>
      <c r="CF25" s="141">
        <f>-13743.15-1045.42</f>
        <v>-14788.57</v>
      </c>
      <c r="CG25" s="141">
        <f>-12265.66-892.73</f>
        <v>-13158.39</v>
      </c>
      <c r="CH25" s="141"/>
      <c r="CI25" s="143">
        <f t="shared" ref="CI25:CI32" si="29">CE25+CF25-CG25+CH25</f>
        <v>-15941.54</v>
      </c>
      <c r="CJ25" s="140">
        <f>-500983.75-40986</f>
        <v>-541969.75</v>
      </c>
      <c r="CK25" s="141">
        <f>-10832.07-943.5</f>
        <v>-11775.57</v>
      </c>
      <c r="CL25" s="145">
        <f t="shared" ref="CL25:CL34" si="30">CD25-CJ25</f>
        <v>-621198.65999999992</v>
      </c>
      <c r="CM25" s="146">
        <f t="shared" ref="CM25:CM34" si="31">CI25-CK25</f>
        <v>-4165.9700000000012</v>
      </c>
      <c r="CN25" s="147">
        <f>ROUND(CL25*1.47%,2)</f>
        <v>-9131.6200000000008</v>
      </c>
      <c r="CO25" s="141">
        <f>ROUND(CL25*1.47%*4/12,2)</f>
        <v>-3043.87</v>
      </c>
      <c r="CP25" s="137">
        <f t="shared" ref="CP25:CP88" si="32">SUM(CL25:CO25)</f>
        <v>-637540.11999999988</v>
      </c>
      <c r="CQ25" s="148">
        <f>-1082101.2-14784.68-81067.21-1156.86</f>
        <v>-1179109.95</v>
      </c>
      <c r="CR25" s="137">
        <f t="shared" ref="CR25:CR88" si="33">CQ25-SUM(CD25,CI25)</f>
        <v>0</v>
      </c>
    </row>
    <row r="26" spans="1:96" ht="15" thickBot="1" x14ac:dyDescent="0.25">
      <c r="A26" s="1">
        <v>3</v>
      </c>
      <c r="C26" s="9" t="s">
        <v>2</v>
      </c>
      <c r="D26" s="8">
        <v>1584</v>
      </c>
      <c r="E26" s="140"/>
      <c r="F26" s="141"/>
      <c r="G26" s="141"/>
      <c r="H26" s="141"/>
      <c r="I26" s="142">
        <f t="shared" si="2"/>
        <v>0</v>
      </c>
      <c r="J26" s="141"/>
      <c r="K26" s="141"/>
      <c r="L26" s="141"/>
      <c r="M26" s="141"/>
      <c r="N26" s="143">
        <f t="shared" si="3"/>
        <v>0</v>
      </c>
      <c r="O26" s="144">
        <f t="shared" si="4"/>
        <v>0</v>
      </c>
      <c r="P26" s="141"/>
      <c r="Q26" s="141"/>
      <c r="R26" s="141"/>
      <c r="S26" s="142">
        <f t="shared" si="5"/>
        <v>0</v>
      </c>
      <c r="T26" s="145">
        <f t="shared" si="6"/>
        <v>0</v>
      </c>
      <c r="U26" s="141"/>
      <c r="V26" s="141"/>
      <c r="W26" s="141"/>
      <c r="X26" s="143">
        <f t="shared" si="7"/>
        <v>0</v>
      </c>
      <c r="Y26" s="144">
        <f t="shared" si="8"/>
        <v>0</v>
      </c>
      <c r="Z26" s="141"/>
      <c r="AA26" s="141"/>
      <c r="AB26" s="141"/>
      <c r="AC26" s="142">
        <f t="shared" si="9"/>
        <v>0</v>
      </c>
      <c r="AD26" s="145">
        <f t="shared" si="10"/>
        <v>0</v>
      </c>
      <c r="AE26" s="141"/>
      <c r="AF26" s="141"/>
      <c r="AG26" s="141"/>
      <c r="AH26" s="143">
        <f t="shared" si="11"/>
        <v>0</v>
      </c>
      <c r="AI26" s="144">
        <f t="shared" si="12"/>
        <v>0</v>
      </c>
      <c r="AJ26" s="141"/>
      <c r="AK26" s="141"/>
      <c r="AL26" s="141"/>
      <c r="AM26" s="142">
        <f t="shared" si="13"/>
        <v>0</v>
      </c>
      <c r="AN26" s="145">
        <f t="shared" si="14"/>
        <v>0</v>
      </c>
      <c r="AO26" s="141"/>
      <c r="AP26" s="141"/>
      <c r="AQ26" s="141"/>
      <c r="AR26" s="143">
        <f t="shared" si="15"/>
        <v>0</v>
      </c>
      <c r="AS26" s="144">
        <f t="shared" si="16"/>
        <v>0</v>
      </c>
      <c r="AT26" s="141"/>
      <c r="AU26" s="141"/>
      <c r="AV26" s="141"/>
      <c r="AW26" s="142">
        <f t="shared" si="17"/>
        <v>0</v>
      </c>
      <c r="AX26" s="145">
        <f t="shared" si="18"/>
        <v>0</v>
      </c>
      <c r="AY26" s="141"/>
      <c r="AZ26" s="141"/>
      <c r="BA26" s="141"/>
      <c r="BB26" s="143">
        <f t="shared" si="19"/>
        <v>0</v>
      </c>
      <c r="BC26" s="144">
        <f t="shared" si="20"/>
        <v>0</v>
      </c>
      <c r="BD26" s="141"/>
      <c r="BE26" s="141"/>
      <c r="BF26" s="141"/>
      <c r="BG26" s="142">
        <f t="shared" si="21"/>
        <v>0</v>
      </c>
      <c r="BH26" s="145">
        <f t="shared" si="22"/>
        <v>0</v>
      </c>
      <c r="BI26" s="141"/>
      <c r="BJ26" s="141"/>
      <c r="BK26" s="141"/>
      <c r="BL26" s="143">
        <f t="shared" si="23"/>
        <v>0</v>
      </c>
      <c r="BM26" s="144">
        <f t="shared" si="24"/>
        <v>0</v>
      </c>
      <c r="BN26" s="141"/>
      <c r="BO26" s="141"/>
      <c r="BP26" s="141">
        <f>-37683.84-90-12178.51</f>
        <v>-49952.35</v>
      </c>
      <c r="BQ26" s="142">
        <f t="shared" si="0"/>
        <v>-49952.35</v>
      </c>
      <c r="BR26" s="145">
        <f t="shared" si="1"/>
        <v>0</v>
      </c>
      <c r="BS26" s="141"/>
      <c r="BT26" s="141"/>
      <c r="BU26" s="141">
        <f>1026.34</f>
        <v>1026.3399999999999</v>
      </c>
      <c r="BV26" s="143">
        <f t="shared" si="25"/>
        <v>1026.3399999999999</v>
      </c>
      <c r="BW26" s="144">
        <f t="shared" si="26"/>
        <v>-49952.35</v>
      </c>
      <c r="BX26" s="141">
        <v>-110935.12</v>
      </c>
      <c r="BY26" s="141">
        <f>-1813.7</f>
        <v>-1813.7</v>
      </c>
      <c r="BZ26" s="141"/>
      <c r="CA26" s="141"/>
      <c r="CB26" s="141"/>
      <c r="CC26" s="141"/>
      <c r="CD26" s="142">
        <f t="shared" si="27"/>
        <v>-159073.76999999999</v>
      </c>
      <c r="CE26" s="145">
        <f t="shared" si="28"/>
        <v>1026.3399999999999</v>
      </c>
      <c r="CF26" s="141">
        <v>-1298.3900000000001</v>
      </c>
      <c r="CG26" s="141">
        <v>603.09</v>
      </c>
      <c r="CH26" s="141"/>
      <c r="CI26" s="143">
        <f t="shared" si="29"/>
        <v>-875.14000000000021</v>
      </c>
      <c r="CJ26" s="140">
        <v>-48048.65</v>
      </c>
      <c r="CK26" s="141">
        <v>-518.51</v>
      </c>
      <c r="CL26" s="145">
        <f t="shared" si="30"/>
        <v>-111025.12</v>
      </c>
      <c r="CM26" s="146">
        <f t="shared" si="31"/>
        <v>-356.63000000000022</v>
      </c>
      <c r="CN26" s="147">
        <f t="shared" ref="CN26:CN29" si="34">ROUND(CL26*1.47%,2)</f>
        <v>-1632.07</v>
      </c>
      <c r="CO26" s="141">
        <f t="shared" ref="CO26:CO29" si="35">ROUND(CL26*1.47%*4/12,2)</f>
        <v>-544.02</v>
      </c>
      <c r="CP26" s="137">
        <f t="shared" si="32"/>
        <v>-113557.84000000001</v>
      </c>
      <c r="CQ26" s="148">
        <f>-159073.77-875.14</f>
        <v>-159948.91</v>
      </c>
      <c r="CR26" s="137">
        <f t="shared" si="33"/>
        <v>0</v>
      </c>
    </row>
    <row r="27" spans="1:96" ht="15" thickBot="1" x14ac:dyDescent="0.25">
      <c r="A27" s="1">
        <v>4</v>
      </c>
      <c r="C27" s="9" t="s">
        <v>3</v>
      </c>
      <c r="D27" s="8">
        <v>1586</v>
      </c>
      <c r="E27" s="140"/>
      <c r="F27" s="141"/>
      <c r="G27" s="141"/>
      <c r="H27" s="141"/>
      <c r="I27" s="142">
        <f t="shared" si="2"/>
        <v>0</v>
      </c>
      <c r="J27" s="141"/>
      <c r="K27" s="141"/>
      <c r="L27" s="141"/>
      <c r="M27" s="141"/>
      <c r="N27" s="143">
        <f t="shared" si="3"/>
        <v>0</v>
      </c>
      <c r="O27" s="144">
        <f t="shared" si="4"/>
        <v>0</v>
      </c>
      <c r="P27" s="141"/>
      <c r="Q27" s="141"/>
      <c r="R27" s="141"/>
      <c r="S27" s="142">
        <f t="shared" si="5"/>
        <v>0</v>
      </c>
      <c r="T27" s="145">
        <f t="shared" si="6"/>
        <v>0</v>
      </c>
      <c r="U27" s="141"/>
      <c r="V27" s="141"/>
      <c r="W27" s="141"/>
      <c r="X27" s="143">
        <f t="shared" si="7"/>
        <v>0</v>
      </c>
      <c r="Y27" s="144">
        <f t="shared" si="8"/>
        <v>0</v>
      </c>
      <c r="Z27" s="141"/>
      <c r="AA27" s="141"/>
      <c r="AB27" s="141"/>
      <c r="AC27" s="142">
        <f t="shared" si="9"/>
        <v>0</v>
      </c>
      <c r="AD27" s="145">
        <f t="shared" si="10"/>
        <v>0</v>
      </c>
      <c r="AE27" s="141"/>
      <c r="AF27" s="141"/>
      <c r="AG27" s="141"/>
      <c r="AH27" s="143">
        <f t="shared" si="11"/>
        <v>0</v>
      </c>
      <c r="AI27" s="144">
        <f t="shared" si="12"/>
        <v>0</v>
      </c>
      <c r="AJ27" s="141"/>
      <c r="AK27" s="141"/>
      <c r="AL27" s="141"/>
      <c r="AM27" s="142">
        <f t="shared" si="13"/>
        <v>0</v>
      </c>
      <c r="AN27" s="145">
        <f t="shared" si="14"/>
        <v>0</v>
      </c>
      <c r="AO27" s="141"/>
      <c r="AP27" s="141"/>
      <c r="AQ27" s="141"/>
      <c r="AR27" s="143">
        <f t="shared" si="15"/>
        <v>0</v>
      </c>
      <c r="AS27" s="144">
        <f t="shared" si="16"/>
        <v>0</v>
      </c>
      <c r="AT27" s="141"/>
      <c r="AU27" s="141"/>
      <c r="AV27" s="141"/>
      <c r="AW27" s="142">
        <f t="shared" si="17"/>
        <v>0</v>
      </c>
      <c r="AX27" s="145">
        <f t="shared" si="18"/>
        <v>0</v>
      </c>
      <c r="AY27" s="141"/>
      <c r="AZ27" s="141"/>
      <c r="BA27" s="141"/>
      <c r="BB27" s="143">
        <f t="shared" si="19"/>
        <v>0</v>
      </c>
      <c r="BC27" s="144">
        <f t="shared" si="20"/>
        <v>0</v>
      </c>
      <c r="BD27" s="141"/>
      <c r="BE27" s="141"/>
      <c r="BF27" s="141"/>
      <c r="BG27" s="142">
        <f t="shared" si="21"/>
        <v>0</v>
      </c>
      <c r="BH27" s="145">
        <f t="shared" si="22"/>
        <v>0</v>
      </c>
      <c r="BI27" s="141"/>
      <c r="BJ27" s="141"/>
      <c r="BK27" s="141"/>
      <c r="BL27" s="143">
        <f t="shared" si="23"/>
        <v>0</v>
      </c>
      <c r="BM27" s="144">
        <f t="shared" si="24"/>
        <v>0</v>
      </c>
      <c r="BN27" s="141"/>
      <c r="BO27" s="141"/>
      <c r="BP27" s="141">
        <f>-217129.44-71-10328.68</f>
        <v>-227529.12</v>
      </c>
      <c r="BQ27" s="142">
        <f t="shared" si="0"/>
        <v>-227529.12</v>
      </c>
      <c r="BR27" s="145">
        <f t="shared" si="1"/>
        <v>0</v>
      </c>
      <c r="BS27" s="141"/>
      <c r="BT27" s="141"/>
      <c r="BU27" s="141">
        <f>-2116.63</f>
        <v>-2116.63</v>
      </c>
      <c r="BV27" s="143">
        <f t="shared" si="25"/>
        <v>-2116.63</v>
      </c>
      <c r="BW27" s="144">
        <f t="shared" si="26"/>
        <v>-227529.12</v>
      </c>
      <c r="BX27" s="141">
        <v>-92846.54</v>
      </c>
      <c r="BY27" s="141">
        <v>-214029.4</v>
      </c>
      <c r="BZ27" s="141"/>
      <c r="CA27" s="141"/>
      <c r="CB27" s="141"/>
      <c r="CC27" s="141"/>
      <c r="CD27" s="142">
        <f t="shared" si="27"/>
        <v>-106346.25999999998</v>
      </c>
      <c r="CE27" s="145">
        <f t="shared" si="28"/>
        <v>-2116.63</v>
      </c>
      <c r="CF27" s="141">
        <v>-1675.72</v>
      </c>
      <c r="CG27" s="141">
        <v>-4001.04</v>
      </c>
      <c r="CH27" s="141"/>
      <c r="CI27" s="143">
        <f t="shared" si="29"/>
        <v>208.6899999999996</v>
      </c>
      <c r="CJ27" s="140">
        <v>-13429.79</v>
      </c>
      <c r="CK27" s="141">
        <v>1621.18</v>
      </c>
      <c r="CL27" s="145">
        <f t="shared" si="30"/>
        <v>-92916.469999999972</v>
      </c>
      <c r="CM27" s="146">
        <f t="shared" si="31"/>
        <v>-1412.4900000000005</v>
      </c>
      <c r="CN27" s="147">
        <f t="shared" si="34"/>
        <v>-1365.87</v>
      </c>
      <c r="CO27" s="141">
        <f t="shared" si="35"/>
        <v>-455.29</v>
      </c>
      <c r="CP27" s="137">
        <f t="shared" si="32"/>
        <v>-96150.119999999966</v>
      </c>
      <c r="CQ27" s="148">
        <f>-106346.26+208.69</f>
        <v>-106137.56999999999</v>
      </c>
      <c r="CR27" s="137">
        <f t="shared" si="33"/>
        <v>0</v>
      </c>
    </row>
    <row r="28" spans="1:96" ht="15" thickBot="1" x14ac:dyDescent="0.25">
      <c r="A28" s="1">
        <v>5</v>
      </c>
      <c r="C28" s="9" t="s">
        <v>114</v>
      </c>
      <c r="D28" s="8">
        <v>1588</v>
      </c>
      <c r="E28" s="140"/>
      <c r="F28" s="141"/>
      <c r="G28" s="141"/>
      <c r="H28" s="141"/>
      <c r="I28" s="142">
        <f t="shared" si="2"/>
        <v>0</v>
      </c>
      <c r="J28" s="141"/>
      <c r="K28" s="141"/>
      <c r="L28" s="141"/>
      <c r="M28" s="141"/>
      <c r="N28" s="143">
        <f t="shared" si="3"/>
        <v>0</v>
      </c>
      <c r="O28" s="144">
        <f t="shared" si="4"/>
        <v>0</v>
      </c>
      <c r="P28" s="141"/>
      <c r="Q28" s="141"/>
      <c r="R28" s="141"/>
      <c r="S28" s="142">
        <f t="shared" si="5"/>
        <v>0</v>
      </c>
      <c r="T28" s="145">
        <f t="shared" si="6"/>
        <v>0</v>
      </c>
      <c r="U28" s="141"/>
      <c r="V28" s="141"/>
      <c r="W28" s="141"/>
      <c r="X28" s="143">
        <f t="shared" si="7"/>
        <v>0</v>
      </c>
      <c r="Y28" s="144">
        <f t="shared" si="8"/>
        <v>0</v>
      </c>
      <c r="Z28" s="141"/>
      <c r="AA28" s="141"/>
      <c r="AB28" s="141"/>
      <c r="AC28" s="142">
        <f t="shared" si="9"/>
        <v>0</v>
      </c>
      <c r="AD28" s="145">
        <f t="shared" si="10"/>
        <v>0</v>
      </c>
      <c r="AE28" s="141"/>
      <c r="AF28" s="141"/>
      <c r="AG28" s="141"/>
      <c r="AH28" s="143">
        <f t="shared" si="11"/>
        <v>0</v>
      </c>
      <c r="AI28" s="144">
        <f t="shared" si="12"/>
        <v>0</v>
      </c>
      <c r="AJ28" s="141"/>
      <c r="AK28" s="141"/>
      <c r="AL28" s="141"/>
      <c r="AM28" s="142">
        <f t="shared" si="13"/>
        <v>0</v>
      </c>
      <c r="AN28" s="145">
        <f t="shared" si="14"/>
        <v>0</v>
      </c>
      <c r="AO28" s="141"/>
      <c r="AP28" s="141"/>
      <c r="AQ28" s="141"/>
      <c r="AR28" s="143">
        <f t="shared" si="15"/>
        <v>0</v>
      </c>
      <c r="AS28" s="144">
        <f t="shared" si="16"/>
        <v>0</v>
      </c>
      <c r="AT28" s="141"/>
      <c r="AU28" s="141"/>
      <c r="AV28" s="141"/>
      <c r="AW28" s="142">
        <f t="shared" si="17"/>
        <v>0</v>
      </c>
      <c r="AX28" s="145">
        <f t="shared" si="18"/>
        <v>0</v>
      </c>
      <c r="AY28" s="141"/>
      <c r="AZ28" s="141"/>
      <c r="BA28" s="141"/>
      <c r="BB28" s="143">
        <f t="shared" si="19"/>
        <v>0</v>
      </c>
      <c r="BC28" s="144">
        <f t="shared" si="20"/>
        <v>0</v>
      </c>
      <c r="BD28" s="141"/>
      <c r="BE28" s="141"/>
      <c r="BF28" s="141"/>
      <c r="BG28" s="142">
        <f t="shared" si="21"/>
        <v>0</v>
      </c>
      <c r="BH28" s="145">
        <f t="shared" si="22"/>
        <v>0</v>
      </c>
      <c r="BI28" s="141"/>
      <c r="BJ28" s="141"/>
      <c r="BK28" s="141"/>
      <c r="BL28" s="143">
        <f t="shared" si="23"/>
        <v>0</v>
      </c>
      <c r="BM28" s="144">
        <f t="shared" si="24"/>
        <v>0</v>
      </c>
      <c r="BN28" s="141"/>
      <c r="BO28" s="141"/>
      <c r="BP28" s="141">
        <f>51138.15-69033.33</f>
        <v>-17895.18</v>
      </c>
      <c r="BQ28" s="142">
        <f t="shared" si="0"/>
        <v>-17895.18</v>
      </c>
      <c r="BR28" s="145">
        <f t="shared" si="1"/>
        <v>0</v>
      </c>
      <c r="BS28" s="141"/>
      <c r="BT28" s="141"/>
      <c r="BU28" s="141">
        <f>-1299.28</f>
        <v>-1299.28</v>
      </c>
      <c r="BV28" s="143">
        <f t="shared" si="25"/>
        <v>-1299.28</v>
      </c>
      <c r="BW28" s="144">
        <f t="shared" si="26"/>
        <v>-17895.18</v>
      </c>
      <c r="BX28" s="141">
        <v>-61236.2</v>
      </c>
      <c r="BY28" s="141">
        <v>62160.91</v>
      </c>
      <c r="BZ28" s="141"/>
      <c r="CA28" s="141"/>
      <c r="CB28" s="141"/>
      <c r="CC28" s="141"/>
      <c r="CD28" s="142">
        <f t="shared" si="27"/>
        <v>-141292.29</v>
      </c>
      <c r="CE28" s="145">
        <f t="shared" si="28"/>
        <v>-1299.28</v>
      </c>
      <c r="CF28" s="141">
        <v>-811.42</v>
      </c>
      <c r="CG28" s="141">
        <v>341.37</v>
      </c>
      <c r="CH28" s="141"/>
      <c r="CI28" s="143">
        <f t="shared" si="29"/>
        <v>-2452.0699999999997</v>
      </c>
      <c r="CJ28" s="140">
        <v>-80056.070000000007</v>
      </c>
      <c r="CK28" s="141">
        <v>-3209.74</v>
      </c>
      <c r="CL28" s="145">
        <f t="shared" si="30"/>
        <v>-61236.22</v>
      </c>
      <c r="CM28" s="146">
        <f t="shared" si="31"/>
        <v>757.67000000000007</v>
      </c>
      <c r="CN28" s="147">
        <f t="shared" si="34"/>
        <v>-900.17</v>
      </c>
      <c r="CO28" s="141">
        <f t="shared" si="35"/>
        <v>-300.06</v>
      </c>
      <c r="CP28" s="137">
        <f t="shared" si="32"/>
        <v>-61678.78</v>
      </c>
      <c r="CQ28" s="148">
        <f>-141292.29-2452.07</f>
        <v>-143744.36000000002</v>
      </c>
      <c r="CR28" s="137">
        <f t="shared" si="33"/>
        <v>0</v>
      </c>
    </row>
    <row r="29" spans="1:96" ht="15" thickBot="1" x14ac:dyDescent="0.25">
      <c r="A29" s="1">
        <v>6</v>
      </c>
      <c r="C29" s="9" t="s">
        <v>169</v>
      </c>
      <c r="D29" s="8">
        <v>1589</v>
      </c>
      <c r="E29" s="140"/>
      <c r="F29" s="141"/>
      <c r="G29" s="141"/>
      <c r="H29" s="141"/>
      <c r="I29" s="142">
        <f t="shared" si="2"/>
        <v>0</v>
      </c>
      <c r="J29" s="141"/>
      <c r="K29" s="141"/>
      <c r="L29" s="141"/>
      <c r="M29" s="141"/>
      <c r="N29" s="143">
        <f t="shared" si="3"/>
        <v>0</v>
      </c>
      <c r="O29" s="144">
        <f t="shared" si="4"/>
        <v>0</v>
      </c>
      <c r="P29" s="141"/>
      <c r="Q29" s="141"/>
      <c r="R29" s="141"/>
      <c r="S29" s="142">
        <f t="shared" si="5"/>
        <v>0</v>
      </c>
      <c r="T29" s="145">
        <f t="shared" si="6"/>
        <v>0</v>
      </c>
      <c r="U29" s="141"/>
      <c r="V29" s="141"/>
      <c r="W29" s="141"/>
      <c r="X29" s="143">
        <f t="shared" si="7"/>
        <v>0</v>
      </c>
      <c r="Y29" s="144">
        <f t="shared" si="8"/>
        <v>0</v>
      </c>
      <c r="Z29" s="141"/>
      <c r="AA29" s="141"/>
      <c r="AB29" s="141"/>
      <c r="AC29" s="142">
        <f t="shared" si="9"/>
        <v>0</v>
      </c>
      <c r="AD29" s="145">
        <f t="shared" si="10"/>
        <v>0</v>
      </c>
      <c r="AE29" s="141"/>
      <c r="AF29" s="141"/>
      <c r="AG29" s="141"/>
      <c r="AH29" s="143">
        <f t="shared" si="11"/>
        <v>0</v>
      </c>
      <c r="AI29" s="144">
        <f t="shared" si="12"/>
        <v>0</v>
      </c>
      <c r="AJ29" s="141"/>
      <c r="AK29" s="141"/>
      <c r="AL29" s="141"/>
      <c r="AM29" s="142">
        <f t="shared" si="13"/>
        <v>0</v>
      </c>
      <c r="AN29" s="145">
        <f t="shared" si="14"/>
        <v>0</v>
      </c>
      <c r="AO29" s="141"/>
      <c r="AP29" s="141"/>
      <c r="AQ29" s="141"/>
      <c r="AR29" s="143">
        <f t="shared" si="15"/>
        <v>0</v>
      </c>
      <c r="AS29" s="144">
        <f t="shared" si="16"/>
        <v>0</v>
      </c>
      <c r="AT29" s="141"/>
      <c r="AU29" s="141"/>
      <c r="AV29" s="141"/>
      <c r="AW29" s="142">
        <f t="shared" si="17"/>
        <v>0</v>
      </c>
      <c r="AX29" s="145">
        <f t="shared" si="18"/>
        <v>0</v>
      </c>
      <c r="AY29" s="141"/>
      <c r="AZ29" s="141"/>
      <c r="BA29" s="141"/>
      <c r="BB29" s="143">
        <f t="shared" si="19"/>
        <v>0</v>
      </c>
      <c r="BC29" s="144">
        <f t="shared" si="20"/>
        <v>0</v>
      </c>
      <c r="BD29" s="141"/>
      <c r="BE29" s="141"/>
      <c r="BF29" s="141"/>
      <c r="BG29" s="142">
        <f t="shared" si="21"/>
        <v>0</v>
      </c>
      <c r="BH29" s="145">
        <f t="shared" si="22"/>
        <v>0</v>
      </c>
      <c r="BI29" s="141"/>
      <c r="BJ29" s="141"/>
      <c r="BK29" s="141"/>
      <c r="BL29" s="143">
        <f t="shared" si="23"/>
        <v>0</v>
      </c>
      <c r="BM29" s="144">
        <f t="shared" si="24"/>
        <v>0</v>
      </c>
      <c r="BN29" s="141"/>
      <c r="BO29" s="141"/>
      <c r="BP29" s="141">
        <f>-451618.96-87459.23</f>
        <v>-539078.19000000006</v>
      </c>
      <c r="BQ29" s="142">
        <f t="shared" si="0"/>
        <v>-539078.19000000006</v>
      </c>
      <c r="BR29" s="145">
        <f t="shared" si="1"/>
        <v>0</v>
      </c>
      <c r="BS29" s="141"/>
      <c r="BT29" s="141"/>
      <c r="BU29" s="141">
        <f>-9493.98</f>
        <v>-9493.98</v>
      </c>
      <c r="BV29" s="143">
        <f t="shared" si="25"/>
        <v>-9493.98</v>
      </c>
      <c r="BW29" s="144">
        <f t="shared" si="26"/>
        <v>-539078.19000000006</v>
      </c>
      <c r="BX29" s="141">
        <v>611072.09</v>
      </c>
      <c r="BY29" s="141">
        <v>-390706.61</v>
      </c>
      <c r="BZ29" s="141"/>
      <c r="CA29" s="141"/>
      <c r="CB29" s="141"/>
      <c r="CC29" s="141"/>
      <c r="CD29" s="142">
        <f t="shared" si="27"/>
        <v>462700.50999999989</v>
      </c>
      <c r="CE29" s="145">
        <f t="shared" si="28"/>
        <v>-9493.98</v>
      </c>
      <c r="CF29" s="141">
        <v>-4371.88</v>
      </c>
      <c r="CG29" s="141">
        <v>-11829.95</v>
      </c>
      <c r="CH29" s="141"/>
      <c r="CI29" s="143">
        <f t="shared" si="29"/>
        <v>-2035.9099999999999</v>
      </c>
      <c r="CJ29" s="140">
        <v>-148371.88</v>
      </c>
      <c r="CK29" s="141">
        <v>-572.11</v>
      </c>
      <c r="CL29" s="145">
        <f t="shared" si="30"/>
        <v>611072.3899999999</v>
      </c>
      <c r="CM29" s="146">
        <f t="shared" si="31"/>
        <v>-1463.7999999999997</v>
      </c>
      <c r="CN29" s="147">
        <f t="shared" si="34"/>
        <v>8982.76</v>
      </c>
      <c r="CO29" s="141">
        <f t="shared" si="35"/>
        <v>2994.25</v>
      </c>
      <c r="CP29" s="137">
        <f t="shared" si="32"/>
        <v>621585.59999999986</v>
      </c>
      <c r="CQ29" s="148">
        <f>462700.51-2035.91</f>
        <v>460664.60000000003</v>
      </c>
      <c r="CR29" s="137">
        <f t="shared" si="33"/>
        <v>0</v>
      </c>
    </row>
    <row r="30" spans="1:96" ht="15" thickBot="1" x14ac:dyDescent="0.25">
      <c r="A30" s="1">
        <v>7</v>
      </c>
      <c r="C30" s="5" t="s">
        <v>19</v>
      </c>
      <c r="D30" s="8">
        <v>1590</v>
      </c>
      <c r="E30" s="140"/>
      <c r="F30" s="141"/>
      <c r="G30" s="141"/>
      <c r="H30" s="141"/>
      <c r="I30" s="142">
        <f t="shared" si="2"/>
        <v>0</v>
      </c>
      <c r="J30" s="141"/>
      <c r="K30" s="141"/>
      <c r="L30" s="141"/>
      <c r="M30" s="141"/>
      <c r="N30" s="143">
        <f t="shared" si="3"/>
        <v>0</v>
      </c>
      <c r="O30" s="144">
        <f t="shared" si="4"/>
        <v>0</v>
      </c>
      <c r="P30" s="141"/>
      <c r="Q30" s="141"/>
      <c r="R30" s="141"/>
      <c r="S30" s="142">
        <f t="shared" si="5"/>
        <v>0</v>
      </c>
      <c r="T30" s="145">
        <f t="shared" si="6"/>
        <v>0</v>
      </c>
      <c r="U30" s="141"/>
      <c r="V30" s="141"/>
      <c r="W30" s="141"/>
      <c r="X30" s="143">
        <f t="shared" si="7"/>
        <v>0</v>
      </c>
      <c r="Y30" s="144">
        <f t="shared" si="8"/>
        <v>0</v>
      </c>
      <c r="Z30" s="141"/>
      <c r="AA30" s="141"/>
      <c r="AB30" s="141"/>
      <c r="AC30" s="142">
        <f t="shared" si="9"/>
        <v>0</v>
      </c>
      <c r="AD30" s="145">
        <f t="shared" si="10"/>
        <v>0</v>
      </c>
      <c r="AE30" s="141"/>
      <c r="AF30" s="141"/>
      <c r="AG30" s="141"/>
      <c r="AH30" s="143">
        <f t="shared" si="11"/>
        <v>0</v>
      </c>
      <c r="AI30" s="144">
        <f t="shared" si="12"/>
        <v>0</v>
      </c>
      <c r="AJ30" s="141"/>
      <c r="AK30" s="141"/>
      <c r="AL30" s="141"/>
      <c r="AM30" s="142">
        <f t="shared" si="13"/>
        <v>0</v>
      </c>
      <c r="AN30" s="145">
        <f t="shared" si="14"/>
        <v>0</v>
      </c>
      <c r="AO30" s="141"/>
      <c r="AP30" s="141"/>
      <c r="AQ30" s="141"/>
      <c r="AR30" s="143">
        <f t="shared" si="15"/>
        <v>0</v>
      </c>
      <c r="AS30" s="144">
        <f t="shared" si="16"/>
        <v>0</v>
      </c>
      <c r="AT30" s="141"/>
      <c r="AU30" s="141"/>
      <c r="AV30" s="141"/>
      <c r="AW30" s="142">
        <f t="shared" si="17"/>
        <v>0</v>
      </c>
      <c r="AX30" s="145">
        <f t="shared" si="18"/>
        <v>0</v>
      </c>
      <c r="AY30" s="141"/>
      <c r="AZ30" s="141"/>
      <c r="BA30" s="141"/>
      <c r="BB30" s="143">
        <f t="shared" si="19"/>
        <v>0</v>
      </c>
      <c r="BC30" s="144">
        <f t="shared" si="20"/>
        <v>0</v>
      </c>
      <c r="BD30" s="141"/>
      <c r="BE30" s="141"/>
      <c r="BF30" s="141"/>
      <c r="BG30" s="142">
        <f t="shared" si="21"/>
        <v>0</v>
      </c>
      <c r="BH30" s="145">
        <f t="shared" si="22"/>
        <v>0</v>
      </c>
      <c r="BI30" s="141"/>
      <c r="BJ30" s="141"/>
      <c r="BK30" s="141"/>
      <c r="BL30" s="143">
        <f t="shared" si="23"/>
        <v>0</v>
      </c>
      <c r="BM30" s="144">
        <f t="shared" si="24"/>
        <v>0</v>
      </c>
      <c r="BN30" s="141"/>
      <c r="BO30" s="141"/>
      <c r="BP30" s="141"/>
      <c r="BQ30" s="142">
        <f t="shared" si="0"/>
        <v>0</v>
      </c>
      <c r="BR30" s="145">
        <f t="shared" si="1"/>
        <v>0</v>
      </c>
      <c r="BS30" s="141"/>
      <c r="BT30" s="141"/>
      <c r="BU30" s="141"/>
      <c r="BV30" s="143">
        <f t="shared" si="25"/>
        <v>0</v>
      </c>
      <c r="BW30" s="144">
        <f t="shared" si="26"/>
        <v>0</v>
      </c>
      <c r="BX30" s="141"/>
      <c r="BY30" s="141"/>
      <c r="BZ30" s="141"/>
      <c r="CA30" s="141"/>
      <c r="CB30" s="141"/>
      <c r="CC30" s="141"/>
      <c r="CD30" s="142">
        <f t="shared" si="27"/>
        <v>0</v>
      </c>
      <c r="CE30" s="145">
        <f t="shared" si="28"/>
        <v>0</v>
      </c>
      <c r="CF30" s="141"/>
      <c r="CG30" s="141"/>
      <c r="CH30" s="141"/>
      <c r="CI30" s="143">
        <f t="shared" si="29"/>
        <v>0</v>
      </c>
      <c r="CJ30" s="140"/>
      <c r="CK30" s="141"/>
      <c r="CL30" s="145">
        <f t="shared" si="30"/>
        <v>0</v>
      </c>
      <c r="CM30" s="146">
        <f t="shared" si="31"/>
        <v>0</v>
      </c>
      <c r="CN30" s="147"/>
      <c r="CO30" s="141"/>
      <c r="CP30" s="137">
        <f t="shared" si="32"/>
        <v>0</v>
      </c>
      <c r="CQ30" s="148"/>
      <c r="CR30" s="137">
        <f t="shared" si="33"/>
        <v>0</v>
      </c>
    </row>
    <row r="31" spans="1:96" ht="17.25" thickBot="1" x14ac:dyDescent="0.25">
      <c r="A31" s="1">
        <v>8</v>
      </c>
      <c r="C31" s="10" t="s">
        <v>109</v>
      </c>
      <c r="D31" s="8">
        <v>1595</v>
      </c>
      <c r="E31" s="140"/>
      <c r="F31" s="141"/>
      <c r="G31" s="141"/>
      <c r="H31" s="141"/>
      <c r="I31" s="142">
        <f t="shared" si="2"/>
        <v>0</v>
      </c>
      <c r="J31" s="141"/>
      <c r="K31" s="141"/>
      <c r="L31" s="141"/>
      <c r="M31" s="141"/>
      <c r="N31" s="143">
        <f t="shared" si="3"/>
        <v>0</v>
      </c>
      <c r="O31" s="144">
        <f>I31</f>
        <v>0</v>
      </c>
      <c r="P31" s="141"/>
      <c r="Q31" s="141"/>
      <c r="R31" s="141"/>
      <c r="S31" s="142">
        <f t="shared" si="5"/>
        <v>0</v>
      </c>
      <c r="T31" s="145">
        <f>N31</f>
        <v>0</v>
      </c>
      <c r="U31" s="141"/>
      <c r="V31" s="141"/>
      <c r="W31" s="141"/>
      <c r="X31" s="143">
        <f t="shared" si="7"/>
        <v>0</v>
      </c>
      <c r="Y31" s="144">
        <f>S31</f>
        <v>0</v>
      </c>
      <c r="Z31" s="141"/>
      <c r="AA31" s="141"/>
      <c r="AB31" s="141"/>
      <c r="AC31" s="142">
        <f t="shared" si="9"/>
        <v>0</v>
      </c>
      <c r="AD31" s="145">
        <f>X31</f>
        <v>0</v>
      </c>
      <c r="AE31" s="141"/>
      <c r="AF31" s="141"/>
      <c r="AG31" s="141"/>
      <c r="AH31" s="143">
        <f t="shared" si="11"/>
        <v>0</v>
      </c>
      <c r="AI31" s="144">
        <f>AC31</f>
        <v>0</v>
      </c>
      <c r="AJ31" s="141"/>
      <c r="AK31" s="141"/>
      <c r="AL31" s="141"/>
      <c r="AM31" s="142">
        <f t="shared" si="13"/>
        <v>0</v>
      </c>
      <c r="AN31" s="145">
        <f>AH31</f>
        <v>0</v>
      </c>
      <c r="AO31" s="141"/>
      <c r="AP31" s="141"/>
      <c r="AQ31" s="141"/>
      <c r="AR31" s="143">
        <f t="shared" si="15"/>
        <v>0</v>
      </c>
      <c r="AS31" s="144">
        <f>AM31</f>
        <v>0</v>
      </c>
      <c r="AT31" s="141"/>
      <c r="AU31" s="141"/>
      <c r="AV31" s="141"/>
      <c r="AW31" s="142">
        <f t="shared" si="17"/>
        <v>0</v>
      </c>
      <c r="AX31" s="145">
        <f>AR31</f>
        <v>0</v>
      </c>
      <c r="AY31" s="141"/>
      <c r="AZ31" s="141"/>
      <c r="BA31" s="141"/>
      <c r="BB31" s="143">
        <f t="shared" si="19"/>
        <v>0</v>
      </c>
      <c r="BC31" s="144">
        <f>AW31</f>
        <v>0</v>
      </c>
      <c r="BD31" s="141"/>
      <c r="BE31" s="141"/>
      <c r="BF31" s="141"/>
      <c r="BG31" s="142">
        <f t="shared" si="21"/>
        <v>0</v>
      </c>
      <c r="BH31" s="145">
        <f>BB31</f>
        <v>0</v>
      </c>
      <c r="BI31" s="141"/>
      <c r="BJ31" s="141"/>
      <c r="BK31" s="141"/>
      <c r="BL31" s="143">
        <f t="shared" si="23"/>
        <v>0</v>
      </c>
      <c r="BM31" s="144">
        <f>BG31</f>
        <v>0</v>
      </c>
      <c r="BN31" s="141"/>
      <c r="BO31" s="141"/>
      <c r="BP31" s="141"/>
      <c r="BQ31" s="142">
        <f t="shared" si="0"/>
        <v>0</v>
      </c>
      <c r="BR31" s="145">
        <f t="shared" si="1"/>
        <v>0</v>
      </c>
      <c r="BS31" s="141"/>
      <c r="BT31" s="141"/>
      <c r="BU31" s="141"/>
      <c r="BV31" s="143">
        <f t="shared" si="25"/>
        <v>0</v>
      </c>
      <c r="BW31" s="144">
        <f>BQ31</f>
        <v>0</v>
      </c>
      <c r="BX31" s="141"/>
      <c r="BY31" s="141"/>
      <c r="BZ31" s="141"/>
      <c r="CA31" s="141"/>
      <c r="CB31" s="141"/>
      <c r="CC31" s="141"/>
      <c r="CD31" s="142">
        <f t="shared" si="27"/>
        <v>0</v>
      </c>
      <c r="CE31" s="145">
        <f>BV31</f>
        <v>0</v>
      </c>
      <c r="CF31" s="141"/>
      <c r="CG31" s="141"/>
      <c r="CH31" s="141"/>
      <c r="CI31" s="143">
        <f t="shared" si="29"/>
        <v>0</v>
      </c>
      <c r="CJ31" s="140"/>
      <c r="CK31" s="141"/>
      <c r="CL31" s="145">
        <f t="shared" si="30"/>
        <v>0</v>
      </c>
      <c r="CM31" s="146">
        <f t="shared" si="31"/>
        <v>0</v>
      </c>
      <c r="CN31" s="147"/>
      <c r="CO31" s="141"/>
      <c r="CP31" s="137">
        <f t="shared" si="32"/>
        <v>0</v>
      </c>
      <c r="CQ31" s="148"/>
      <c r="CR31" s="137">
        <f t="shared" si="33"/>
        <v>0</v>
      </c>
    </row>
    <row r="32" spans="1:96" ht="17.25" thickBot="1" x14ac:dyDescent="0.25">
      <c r="A32" s="1">
        <v>9</v>
      </c>
      <c r="C32" s="10" t="s">
        <v>110</v>
      </c>
      <c r="D32" s="8">
        <v>1595</v>
      </c>
      <c r="E32" s="140"/>
      <c r="F32" s="141"/>
      <c r="G32" s="141"/>
      <c r="H32" s="141"/>
      <c r="I32" s="142">
        <f t="shared" si="2"/>
        <v>0</v>
      </c>
      <c r="J32" s="141"/>
      <c r="K32" s="141"/>
      <c r="L32" s="141"/>
      <c r="M32" s="141"/>
      <c r="N32" s="143">
        <f t="shared" si="3"/>
        <v>0</v>
      </c>
      <c r="O32" s="144">
        <f t="shared" si="4"/>
        <v>0</v>
      </c>
      <c r="P32" s="141"/>
      <c r="Q32" s="141"/>
      <c r="R32" s="141"/>
      <c r="S32" s="142">
        <f t="shared" si="5"/>
        <v>0</v>
      </c>
      <c r="T32" s="145">
        <f t="shared" si="6"/>
        <v>0</v>
      </c>
      <c r="U32" s="141"/>
      <c r="V32" s="141"/>
      <c r="W32" s="141"/>
      <c r="X32" s="143">
        <f t="shared" si="7"/>
        <v>0</v>
      </c>
      <c r="Y32" s="144">
        <f t="shared" si="8"/>
        <v>0</v>
      </c>
      <c r="Z32" s="141"/>
      <c r="AA32" s="141"/>
      <c r="AB32" s="141"/>
      <c r="AC32" s="142">
        <f t="shared" si="9"/>
        <v>0</v>
      </c>
      <c r="AD32" s="145">
        <f t="shared" si="10"/>
        <v>0</v>
      </c>
      <c r="AE32" s="141"/>
      <c r="AF32" s="141"/>
      <c r="AG32" s="141"/>
      <c r="AH32" s="143">
        <f t="shared" si="11"/>
        <v>0</v>
      </c>
      <c r="AI32" s="144">
        <f t="shared" si="12"/>
        <v>0</v>
      </c>
      <c r="AJ32" s="141"/>
      <c r="AK32" s="141"/>
      <c r="AL32" s="141"/>
      <c r="AM32" s="142">
        <f t="shared" si="13"/>
        <v>0</v>
      </c>
      <c r="AN32" s="145">
        <f t="shared" si="14"/>
        <v>0</v>
      </c>
      <c r="AO32" s="141"/>
      <c r="AP32" s="141"/>
      <c r="AQ32" s="141"/>
      <c r="AR32" s="143">
        <f t="shared" si="15"/>
        <v>0</v>
      </c>
      <c r="AS32" s="144">
        <f t="shared" si="16"/>
        <v>0</v>
      </c>
      <c r="AT32" s="141"/>
      <c r="AU32" s="141"/>
      <c r="AV32" s="141"/>
      <c r="AW32" s="142">
        <f t="shared" si="17"/>
        <v>0</v>
      </c>
      <c r="AX32" s="145">
        <f t="shared" si="18"/>
        <v>0</v>
      </c>
      <c r="AY32" s="141"/>
      <c r="AZ32" s="141"/>
      <c r="BA32" s="141"/>
      <c r="BB32" s="143">
        <f t="shared" si="19"/>
        <v>0</v>
      </c>
      <c r="BC32" s="144">
        <f t="shared" si="20"/>
        <v>0</v>
      </c>
      <c r="BD32" s="141"/>
      <c r="BE32" s="141"/>
      <c r="BF32" s="141"/>
      <c r="BG32" s="142">
        <f t="shared" si="21"/>
        <v>0</v>
      </c>
      <c r="BH32" s="145">
        <f t="shared" si="22"/>
        <v>0</v>
      </c>
      <c r="BI32" s="141"/>
      <c r="BJ32" s="141"/>
      <c r="BK32" s="141"/>
      <c r="BL32" s="143">
        <f t="shared" si="23"/>
        <v>0</v>
      </c>
      <c r="BM32" s="144">
        <f>BG32</f>
        <v>0</v>
      </c>
      <c r="BN32" s="141"/>
      <c r="BO32" s="141"/>
      <c r="BP32" s="141"/>
      <c r="BQ32" s="142">
        <f t="shared" si="0"/>
        <v>0</v>
      </c>
      <c r="BR32" s="145">
        <f t="shared" si="1"/>
        <v>0</v>
      </c>
      <c r="BS32" s="141"/>
      <c r="BT32" s="141"/>
      <c r="BU32" s="141"/>
      <c r="BV32" s="143">
        <f t="shared" si="25"/>
        <v>0</v>
      </c>
      <c r="BW32" s="144">
        <f>BQ32</f>
        <v>0</v>
      </c>
      <c r="BX32" s="141"/>
      <c r="BY32" s="141"/>
      <c r="BZ32" s="141"/>
      <c r="CA32" s="141"/>
      <c r="CB32" s="141"/>
      <c r="CC32" s="141"/>
      <c r="CD32" s="142">
        <f t="shared" si="27"/>
        <v>0</v>
      </c>
      <c r="CE32" s="145">
        <f>BV32</f>
        <v>0</v>
      </c>
      <c r="CF32" s="141"/>
      <c r="CG32" s="141"/>
      <c r="CH32" s="141"/>
      <c r="CI32" s="143">
        <f t="shared" si="29"/>
        <v>0</v>
      </c>
      <c r="CJ32" s="140"/>
      <c r="CK32" s="141"/>
      <c r="CL32" s="145">
        <f t="shared" si="30"/>
        <v>0</v>
      </c>
      <c r="CM32" s="146">
        <f t="shared" si="31"/>
        <v>0</v>
      </c>
      <c r="CN32" s="147"/>
      <c r="CO32" s="141"/>
      <c r="CP32" s="137">
        <f t="shared" si="32"/>
        <v>0</v>
      </c>
      <c r="CQ32" s="148"/>
      <c r="CR32" s="137">
        <f t="shared" si="33"/>
        <v>0</v>
      </c>
    </row>
    <row r="33" spans="1:96" ht="17.25" thickBot="1" x14ac:dyDescent="0.25">
      <c r="A33" s="1">
        <v>9</v>
      </c>
      <c r="C33" s="10" t="s">
        <v>111</v>
      </c>
      <c r="D33" s="8">
        <v>1595</v>
      </c>
      <c r="E33" s="140"/>
      <c r="F33" s="141"/>
      <c r="G33" s="141"/>
      <c r="H33" s="141"/>
      <c r="I33" s="142">
        <f>E33+F33-G33+H33</f>
        <v>0</v>
      </c>
      <c r="J33" s="141"/>
      <c r="K33" s="141"/>
      <c r="L33" s="141"/>
      <c r="M33" s="141"/>
      <c r="N33" s="143">
        <f>J33+K33-L33+M33</f>
        <v>0</v>
      </c>
      <c r="O33" s="144">
        <f>I33</f>
        <v>0</v>
      </c>
      <c r="P33" s="141"/>
      <c r="Q33" s="141"/>
      <c r="R33" s="141"/>
      <c r="S33" s="142">
        <f>O33+P33-Q33+R33</f>
        <v>0</v>
      </c>
      <c r="T33" s="145">
        <f>N33</f>
        <v>0</v>
      </c>
      <c r="U33" s="141"/>
      <c r="V33" s="141"/>
      <c r="W33" s="141"/>
      <c r="X33" s="143">
        <f>T33+U33-V33+W33</f>
        <v>0</v>
      </c>
      <c r="Y33" s="144">
        <f>S33</f>
        <v>0</v>
      </c>
      <c r="Z33" s="141"/>
      <c r="AA33" s="141"/>
      <c r="AB33" s="141"/>
      <c r="AC33" s="142">
        <f>Y33+Z33-AA33+AB33</f>
        <v>0</v>
      </c>
      <c r="AD33" s="145">
        <f>X33</f>
        <v>0</v>
      </c>
      <c r="AE33" s="141"/>
      <c r="AF33" s="141"/>
      <c r="AG33" s="141"/>
      <c r="AH33" s="143">
        <f>AD33+AE33-AF33+AG33</f>
        <v>0</v>
      </c>
      <c r="AI33" s="144">
        <f>AC33</f>
        <v>0</v>
      </c>
      <c r="AJ33" s="141"/>
      <c r="AK33" s="141"/>
      <c r="AL33" s="141"/>
      <c r="AM33" s="142">
        <f>AI33+AJ33-AK33+AL33</f>
        <v>0</v>
      </c>
      <c r="AN33" s="145">
        <f>AH33</f>
        <v>0</v>
      </c>
      <c r="AO33" s="141"/>
      <c r="AP33" s="141"/>
      <c r="AQ33" s="141"/>
      <c r="AR33" s="143">
        <f>AN33+AO33-AP33+AQ33</f>
        <v>0</v>
      </c>
      <c r="AS33" s="144">
        <f>AM33</f>
        <v>0</v>
      </c>
      <c r="AT33" s="141"/>
      <c r="AU33" s="141"/>
      <c r="AV33" s="141"/>
      <c r="AW33" s="142">
        <f>AS33+AT33-AU33+AV33</f>
        <v>0</v>
      </c>
      <c r="AX33" s="145">
        <f>AR33</f>
        <v>0</v>
      </c>
      <c r="AY33" s="141"/>
      <c r="AZ33" s="141"/>
      <c r="BA33" s="141"/>
      <c r="BB33" s="143">
        <f>AX33+AY33-AZ33+BA33</f>
        <v>0</v>
      </c>
      <c r="BC33" s="144">
        <f>AW33</f>
        <v>0</v>
      </c>
      <c r="BD33" s="141"/>
      <c r="BE33" s="141"/>
      <c r="BF33" s="141"/>
      <c r="BG33" s="142">
        <f t="shared" si="21"/>
        <v>0</v>
      </c>
      <c r="BH33" s="145">
        <f>BB33</f>
        <v>0</v>
      </c>
      <c r="BI33" s="141"/>
      <c r="BJ33" s="141"/>
      <c r="BK33" s="141"/>
      <c r="BL33" s="143">
        <f>BH33+BI33-BJ33+BK33</f>
        <v>0</v>
      </c>
      <c r="BM33" s="144">
        <f>BG33</f>
        <v>0</v>
      </c>
      <c r="BN33" s="141"/>
      <c r="BO33" s="141"/>
      <c r="BP33" s="141">
        <f>-79138.81-124952.99</f>
        <v>-204091.8</v>
      </c>
      <c r="BQ33" s="142">
        <f t="shared" si="0"/>
        <v>-204091.8</v>
      </c>
      <c r="BR33" s="145">
        <f t="shared" si="1"/>
        <v>0</v>
      </c>
      <c r="BS33" s="141"/>
      <c r="BT33" s="141"/>
      <c r="BU33" s="141">
        <f>92800.07+26088.21</f>
        <v>118888.28</v>
      </c>
      <c r="BV33" s="143">
        <f>BR33+BS33-BT33+BU33</f>
        <v>118888.28</v>
      </c>
      <c r="BW33" s="144">
        <f>BQ33</f>
        <v>-204091.8</v>
      </c>
      <c r="BX33" s="141">
        <v>176.74</v>
      </c>
      <c r="BY33" s="141"/>
      <c r="BZ33" s="141"/>
      <c r="CA33" s="141"/>
      <c r="CB33" s="141"/>
      <c r="CC33" s="141">
        <v>-176.74</v>
      </c>
      <c r="CD33" s="142">
        <f>BW33+BX33-BY33+SUM(BZ33:CC33)</f>
        <v>-204091.8</v>
      </c>
      <c r="CE33" s="145">
        <f>BV33</f>
        <v>118888.28</v>
      </c>
      <c r="CF33" s="141">
        <f>-1162.43-1836.84</f>
        <v>-2999.27</v>
      </c>
      <c r="CG33" s="141"/>
      <c r="CH33" s="141">
        <f>-388.65-612.28</f>
        <v>-1000.93</v>
      </c>
      <c r="CI33" s="143">
        <f>CE33+CF33-CG33+CH33</f>
        <v>114888.08</v>
      </c>
      <c r="CJ33" s="140">
        <v>-204091.8</v>
      </c>
      <c r="CK33" s="141">
        <v>114888.08</v>
      </c>
      <c r="CL33" s="145">
        <f t="shared" si="30"/>
        <v>0</v>
      </c>
      <c r="CM33" s="146">
        <f t="shared" si="31"/>
        <v>0</v>
      </c>
      <c r="CN33" s="147">
        <f t="shared" ref="CN33:CN34" si="36">ROUND(CL33*1.47%,2)</f>
        <v>0</v>
      </c>
      <c r="CO33" s="141">
        <f t="shared" ref="CO33:CO34" si="37">ROUND(CL33*1.47%*4/12,2)</f>
        <v>0</v>
      </c>
      <c r="CP33" s="137">
        <f t="shared" si="32"/>
        <v>0</v>
      </c>
      <c r="CQ33" s="148">
        <f>-78962.07+91637.64-124952.99+24251.37</f>
        <v>-88026.050000000017</v>
      </c>
      <c r="CR33" s="137">
        <f t="shared" si="33"/>
        <v>1177.6699999999691</v>
      </c>
    </row>
    <row r="34" spans="1:96" ht="17.25" thickBot="1" x14ac:dyDescent="0.25">
      <c r="A34" s="1">
        <v>10</v>
      </c>
      <c r="C34" s="10" t="s">
        <v>172</v>
      </c>
      <c r="D34" s="8">
        <v>1595</v>
      </c>
      <c r="E34" s="140"/>
      <c r="F34" s="141"/>
      <c r="G34" s="141"/>
      <c r="H34" s="141"/>
      <c r="I34" s="142">
        <f>E34+F34-G34+H34</f>
        <v>0</v>
      </c>
      <c r="J34" s="141"/>
      <c r="K34" s="141"/>
      <c r="L34" s="141"/>
      <c r="M34" s="141"/>
      <c r="N34" s="143">
        <f>J34+K34-L34+M34</f>
        <v>0</v>
      </c>
      <c r="O34" s="144">
        <f>I34</f>
        <v>0</v>
      </c>
      <c r="P34" s="141"/>
      <c r="Q34" s="141"/>
      <c r="R34" s="141"/>
      <c r="S34" s="142">
        <f>O34+P34-Q34+R34</f>
        <v>0</v>
      </c>
      <c r="T34" s="145">
        <f>N34</f>
        <v>0</v>
      </c>
      <c r="U34" s="141"/>
      <c r="V34" s="141"/>
      <c r="W34" s="141"/>
      <c r="X34" s="143">
        <f>T34+U34-V34+W34</f>
        <v>0</v>
      </c>
      <c r="Y34" s="144">
        <f>S34</f>
        <v>0</v>
      </c>
      <c r="Z34" s="141"/>
      <c r="AA34" s="141"/>
      <c r="AB34" s="141"/>
      <c r="AC34" s="142">
        <f>Y34+Z34-AA34+AB34</f>
        <v>0</v>
      </c>
      <c r="AD34" s="145">
        <f>X34</f>
        <v>0</v>
      </c>
      <c r="AE34" s="141"/>
      <c r="AF34" s="141"/>
      <c r="AG34" s="141"/>
      <c r="AH34" s="143">
        <f>AD34+AE34-AF34+AG34</f>
        <v>0</v>
      </c>
      <c r="AI34" s="144">
        <f>AC34</f>
        <v>0</v>
      </c>
      <c r="AJ34" s="141"/>
      <c r="AK34" s="141"/>
      <c r="AL34" s="141"/>
      <c r="AM34" s="142">
        <f>AI34+AJ34-AK34+AL34</f>
        <v>0</v>
      </c>
      <c r="AN34" s="145">
        <f>AH34</f>
        <v>0</v>
      </c>
      <c r="AO34" s="141"/>
      <c r="AP34" s="141"/>
      <c r="AQ34" s="141"/>
      <c r="AR34" s="143">
        <f>AN34+AO34-AP34+AQ34</f>
        <v>0</v>
      </c>
      <c r="AS34" s="144">
        <f>AM34</f>
        <v>0</v>
      </c>
      <c r="AT34" s="141"/>
      <c r="AU34" s="141"/>
      <c r="AV34" s="141"/>
      <c r="AW34" s="142">
        <f>AS34+AT34-AU34+AV34</f>
        <v>0</v>
      </c>
      <c r="AX34" s="145">
        <f>AR34</f>
        <v>0</v>
      </c>
      <c r="AY34" s="141"/>
      <c r="AZ34" s="141"/>
      <c r="BA34" s="141"/>
      <c r="BB34" s="143">
        <f>AX34+AY34-AZ34+BA34</f>
        <v>0</v>
      </c>
      <c r="BC34" s="144">
        <f>AW34</f>
        <v>0</v>
      </c>
      <c r="BD34" s="141"/>
      <c r="BE34" s="141"/>
      <c r="BF34" s="141"/>
      <c r="BG34" s="142">
        <f t="shared" ref="BG34" si="38">BC34+BD34-BE34+SUM(BF34:BF34)</f>
        <v>0</v>
      </c>
      <c r="BH34" s="145">
        <f>BB34</f>
        <v>0</v>
      </c>
      <c r="BI34" s="141"/>
      <c r="BJ34" s="141"/>
      <c r="BK34" s="141"/>
      <c r="BL34" s="143">
        <f>BH34+BI34-BJ34+BK34</f>
        <v>0</v>
      </c>
      <c r="BM34" s="144">
        <f>BG34</f>
        <v>0</v>
      </c>
      <c r="BN34" s="141">
        <f>-504629.21+300634.33-370357.6+228044.05-35546</f>
        <v>-381854.43</v>
      </c>
      <c r="BO34" s="141"/>
      <c r="BP34" s="141"/>
      <c r="BQ34" s="142">
        <f t="shared" si="0"/>
        <v>-381854.43</v>
      </c>
      <c r="BR34" s="145">
        <f t="shared" si="1"/>
        <v>0</v>
      </c>
      <c r="BS34" s="141">
        <f>-6833.02-3831.75-5078.25-2805.98-304.78</f>
        <v>-18853.78</v>
      </c>
      <c r="BT34" s="141"/>
      <c r="BU34" s="141"/>
      <c r="BV34" s="143">
        <f>BR34+BS34-BT34+BU34</f>
        <v>-18853.78</v>
      </c>
      <c r="BW34" s="144">
        <f>BQ34</f>
        <v>-381854.43</v>
      </c>
      <c r="BX34" s="141">
        <f>217341.93+163789.31</f>
        <v>381131.24</v>
      </c>
      <c r="BY34" s="141"/>
      <c r="BZ34" s="141"/>
      <c r="CA34" s="141"/>
      <c r="CB34" s="141"/>
      <c r="CC34" s="141">
        <v>-31.37</v>
      </c>
      <c r="CD34" s="142">
        <f>BW34+BX34-BY34+SUM(BZ34:CC34)</f>
        <v>-754.56000000000233</v>
      </c>
      <c r="CE34" s="145">
        <f>BV34</f>
        <v>-18853.78</v>
      </c>
      <c r="CF34" s="141">
        <f>-585.28-278.73-522.48</f>
        <v>-1386.49</v>
      </c>
      <c r="CG34" s="141"/>
      <c r="CH34" s="141"/>
      <c r="CI34" s="143">
        <f>CE34+CF34-CG34+CH34</f>
        <v>-20240.27</v>
      </c>
      <c r="CJ34" s="140"/>
      <c r="CK34" s="141"/>
      <c r="CL34" s="145">
        <f t="shared" si="30"/>
        <v>-754.56000000000233</v>
      </c>
      <c r="CM34" s="146">
        <f t="shared" si="31"/>
        <v>-20240.27</v>
      </c>
      <c r="CN34" s="147">
        <f t="shared" si="36"/>
        <v>-11.09</v>
      </c>
      <c r="CO34" s="141">
        <f t="shared" si="37"/>
        <v>-3.7</v>
      </c>
      <c r="CP34" s="137">
        <f t="shared" si="32"/>
        <v>-21009.620000000003</v>
      </c>
      <c r="CQ34" s="148">
        <f>13347.05-11250.05+21475.76-8162.96-35546-827.26</f>
        <v>-20963.46</v>
      </c>
      <c r="CR34" s="137">
        <f t="shared" si="33"/>
        <v>31.370000000002619</v>
      </c>
    </row>
    <row r="35" spans="1:96" ht="14.25" x14ac:dyDescent="0.2">
      <c r="C35" s="5"/>
      <c r="D35" s="5"/>
      <c r="E35" s="149"/>
      <c r="F35" s="142"/>
      <c r="G35" s="142"/>
      <c r="H35" s="142"/>
      <c r="I35" s="142"/>
      <c r="J35" s="142"/>
      <c r="K35" s="142"/>
      <c r="L35" s="142"/>
      <c r="M35" s="142"/>
      <c r="N35" s="143"/>
      <c r="O35" s="149"/>
      <c r="P35" s="142"/>
      <c r="Q35" s="142"/>
      <c r="R35" s="142"/>
      <c r="S35" s="142"/>
      <c r="T35" s="142"/>
      <c r="U35" s="142"/>
      <c r="V35" s="142"/>
      <c r="W35" s="142"/>
      <c r="X35" s="143"/>
      <c r="Y35" s="149"/>
      <c r="Z35" s="142"/>
      <c r="AA35" s="142"/>
      <c r="AB35" s="142"/>
      <c r="AC35" s="142"/>
      <c r="AD35" s="142"/>
      <c r="AE35" s="142"/>
      <c r="AF35" s="142"/>
      <c r="AG35" s="142"/>
      <c r="AH35" s="143"/>
      <c r="AI35" s="149"/>
      <c r="AJ35" s="142"/>
      <c r="AK35" s="142"/>
      <c r="AL35" s="142"/>
      <c r="AM35" s="142"/>
      <c r="AN35" s="142"/>
      <c r="AO35" s="142"/>
      <c r="AP35" s="142"/>
      <c r="AQ35" s="142"/>
      <c r="AR35" s="143"/>
      <c r="AS35" s="149"/>
      <c r="AT35" s="142"/>
      <c r="AU35" s="142"/>
      <c r="AV35" s="142"/>
      <c r="AW35" s="142"/>
      <c r="AX35" s="142"/>
      <c r="AY35" s="142"/>
      <c r="AZ35" s="142"/>
      <c r="BA35" s="142"/>
      <c r="BB35" s="143"/>
      <c r="BC35" s="149"/>
      <c r="BD35" s="142"/>
      <c r="BE35" s="142"/>
      <c r="BF35" s="142"/>
      <c r="BG35" s="142"/>
      <c r="BH35" s="142"/>
      <c r="BI35" s="142"/>
      <c r="BJ35" s="142"/>
      <c r="BK35" s="142"/>
      <c r="BL35" s="143"/>
      <c r="BM35" s="149"/>
      <c r="BN35" s="142"/>
      <c r="BO35" s="142"/>
      <c r="BP35" s="142"/>
      <c r="BQ35" s="142"/>
      <c r="BR35" s="142"/>
      <c r="BS35" s="142"/>
      <c r="BT35" s="142"/>
      <c r="BU35" s="142"/>
      <c r="BV35" s="143"/>
      <c r="BW35" s="149"/>
      <c r="BX35" s="142"/>
      <c r="BY35" s="142"/>
      <c r="BZ35" s="142"/>
      <c r="CA35" s="142"/>
      <c r="CB35" s="142"/>
      <c r="CC35" s="142"/>
      <c r="CD35" s="142"/>
      <c r="CE35" s="142"/>
      <c r="CF35" s="142"/>
      <c r="CG35" s="142"/>
      <c r="CH35" s="142"/>
      <c r="CI35" s="143"/>
      <c r="CJ35" s="149"/>
      <c r="CK35" s="142"/>
      <c r="CL35" s="142"/>
      <c r="CM35" s="143"/>
      <c r="CN35" s="136"/>
      <c r="CO35" s="136"/>
      <c r="CP35" s="137"/>
      <c r="CQ35" s="138"/>
      <c r="CR35" s="137"/>
    </row>
    <row r="36" spans="1:96" ht="15" x14ac:dyDescent="0.25">
      <c r="C36" s="11" t="s">
        <v>170</v>
      </c>
      <c r="D36" s="11"/>
      <c r="E36" s="149">
        <f>SUM(E24:E34)</f>
        <v>0</v>
      </c>
      <c r="F36" s="142">
        <f t="shared" ref="F36:BP36" si="39">SUM(F24:F34)</f>
        <v>0</v>
      </c>
      <c r="G36" s="142">
        <f t="shared" si="39"/>
        <v>0</v>
      </c>
      <c r="H36" s="142">
        <f t="shared" si="39"/>
        <v>0</v>
      </c>
      <c r="I36" s="142">
        <f t="shared" si="39"/>
        <v>0</v>
      </c>
      <c r="J36" s="142">
        <f t="shared" si="39"/>
        <v>0</v>
      </c>
      <c r="K36" s="142">
        <f t="shared" si="39"/>
        <v>0</v>
      </c>
      <c r="L36" s="142">
        <f t="shared" si="39"/>
        <v>0</v>
      </c>
      <c r="M36" s="142">
        <f t="shared" si="39"/>
        <v>0</v>
      </c>
      <c r="N36" s="143">
        <f t="shared" si="39"/>
        <v>0</v>
      </c>
      <c r="O36" s="149">
        <f t="shared" si="39"/>
        <v>0</v>
      </c>
      <c r="P36" s="142">
        <f t="shared" si="39"/>
        <v>0</v>
      </c>
      <c r="Q36" s="142">
        <f t="shared" si="39"/>
        <v>0</v>
      </c>
      <c r="R36" s="142">
        <f t="shared" si="39"/>
        <v>0</v>
      </c>
      <c r="S36" s="142">
        <f t="shared" si="39"/>
        <v>0</v>
      </c>
      <c r="T36" s="142">
        <f t="shared" si="39"/>
        <v>0</v>
      </c>
      <c r="U36" s="142">
        <f t="shared" si="39"/>
        <v>0</v>
      </c>
      <c r="V36" s="142">
        <f t="shared" si="39"/>
        <v>0</v>
      </c>
      <c r="W36" s="142">
        <f t="shared" si="39"/>
        <v>0</v>
      </c>
      <c r="X36" s="142">
        <f t="shared" si="39"/>
        <v>0</v>
      </c>
      <c r="Y36" s="149">
        <f t="shared" si="39"/>
        <v>0</v>
      </c>
      <c r="Z36" s="142">
        <f t="shared" si="39"/>
        <v>0</v>
      </c>
      <c r="AA36" s="142">
        <f t="shared" si="39"/>
        <v>0</v>
      </c>
      <c r="AB36" s="142">
        <f t="shared" si="39"/>
        <v>0</v>
      </c>
      <c r="AC36" s="142">
        <f t="shared" si="39"/>
        <v>0</v>
      </c>
      <c r="AD36" s="142">
        <f t="shared" si="39"/>
        <v>0</v>
      </c>
      <c r="AE36" s="142">
        <f t="shared" si="39"/>
        <v>0</v>
      </c>
      <c r="AF36" s="142">
        <f t="shared" si="39"/>
        <v>0</v>
      </c>
      <c r="AG36" s="142">
        <f t="shared" si="39"/>
        <v>0</v>
      </c>
      <c r="AH36" s="142">
        <f t="shared" si="39"/>
        <v>0</v>
      </c>
      <c r="AI36" s="149">
        <f t="shared" si="39"/>
        <v>0</v>
      </c>
      <c r="AJ36" s="142">
        <f t="shared" si="39"/>
        <v>0</v>
      </c>
      <c r="AK36" s="142">
        <f t="shared" si="39"/>
        <v>0</v>
      </c>
      <c r="AL36" s="142">
        <f t="shared" si="39"/>
        <v>0</v>
      </c>
      <c r="AM36" s="142">
        <f t="shared" si="39"/>
        <v>0</v>
      </c>
      <c r="AN36" s="142">
        <f t="shared" si="39"/>
        <v>0</v>
      </c>
      <c r="AO36" s="142">
        <f t="shared" si="39"/>
        <v>0</v>
      </c>
      <c r="AP36" s="142">
        <f t="shared" si="39"/>
        <v>0</v>
      </c>
      <c r="AQ36" s="142">
        <f t="shared" si="39"/>
        <v>0</v>
      </c>
      <c r="AR36" s="142">
        <f t="shared" si="39"/>
        <v>0</v>
      </c>
      <c r="AS36" s="149">
        <f t="shared" si="39"/>
        <v>0</v>
      </c>
      <c r="AT36" s="142">
        <f t="shared" si="39"/>
        <v>0</v>
      </c>
      <c r="AU36" s="142">
        <f t="shared" si="39"/>
        <v>0</v>
      </c>
      <c r="AV36" s="142">
        <f t="shared" si="39"/>
        <v>0</v>
      </c>
      <c r="AW36" s="142">
        <f t="shared" si="39"/>
        <v>0</v>
      </c>
      <c r="AX36" s="142">
        <f t="shared" si="39"/>
        <v>0</v>
      </c>
      <c r="AY36" s="142">
        <f t="shared" si="39"/>
        <v>0</v>
      </c>
      <c r="AZ36" s="142">
        <f t="shared" si="39"/>
        <v>0</v>
      </c>
      <c r="BA36" s="142">
        <f t="shared" si="39"/>
        <v>0</v>
      </c>
      <c r="BB36" s="142">
        <f t="shared" si="39"/>
        <v>0</v>
      </c>
      <c r="BC36" s="149">
        <f t="shared" si="39"/>
        <v>0</v>
      </c>
      <c r="BD36" s="142">
        <f t="shared" si="39"/>
        <v>0</v>
      </c>
      <c r="BE36" s="142">
        <f t="shared" si="39"/>
        <v>0</v>
      </c>
      <c r="BF36" s="142">
        <f t="shared" si="39"/>
        <v>0</v>
      </c>
      <c r="BG36" s="142">
        <f t="shared" si="39"/>
        <v>0</v>
      </c>
      <c r="BH36" s="142">
        <f t="shared" si="39"/>
        <v>0</v>
      </c>
      <c r="BI36" s="142">
        <f t="shared" si="39"/>
        <v>0</v>
      </c>
      <c r="BJ36" s="142">
        <f t="shared" si="39"/>
        <v>0</v>
      </c>
      <c r="BK36" s="142">
        <f t="shared" si="39"/>
        <v>0</v>
      </c>
      <c r="BL36" s="142">
        <f t="shared" si="39"/>
        <v>0</v>
      </c>
      <c r="BM36" s="149">
        <f t="shared" si="39"/>
        <v>0</v>
      </c>
      <c r="BN36" s="142">
        <f t="shared" si="39"/>
        <v>-381854.43</v>
      </c>
      <c r="BO36" s="142">
        <f t="shared" si="39"/>
        <v>0</v>
      </c>
      <c r="BP36" s="142">
        <f t="shared" si="39"/>
        <v>-2208528.2000000002</v>
      </c>
      <c r="BQ36" s="142">
        <f t="shared" ref="BQ36:CQ36" si="40">SUM(BQ24:BQ34)</f>
        <v>-2590382.6300000004</v>
      </c>
      <c r="BR36" s="142">
        <f t="shared" si="40"/>
        <v>0</v>
      </c>
      <c r="BS36" s="142">
        <f t="shared" si="40"/>
        <v>-18853.78</v>
      </c>
      <c r="BT36" s="142">
        <f t="shared" si="40"/>
        <v>0</v>
      </c>
      <c r="BU36" s="142">
        <f t="shared" si="40"/>
        <v>90321.4</v>
      </c>
      <c r="BV36" s="142">
        <f t="shared" si="40"/>
        <v>71467.62</v>
      </c>
      <c r="BW36" s="149">
        <f t="shared" si="40"/>
        <v>-2590382.6300000004</v>
      </c>
      <c r="BX36" s="142">
        <f t="shared" si="40"/>
        <v>85385</v>
      </c>
      <c r="BY36" s="142">
        <f t="shared" si="40"/>
        <v>-1141167.96</v>
      </c>
      <c r="BZ36" s="142">
        <f t="shared" si="40"/>
        <v>0</v>
      </c>
      <c r="CA36" s="142">
        <f t="shared" si="40"/>
        <v>0</v>
      </c>
      <c r="CB36" s="142">
        <f t="shared" si="40"/>
        <v>0</v>
      </c>
      <c r="CC36" s="142">
        <f t="shared" si="40"/>
        <v>-208.11</v>
      </c>
      <c r="CD36" s="142">
        <f t="shared" si="40"/>
        <v>-1364037.78</v>
      </c>
      <c r="CE36" s="142">
        <f t="shared" si="40"/>
        <v>71467.62</v>
      </c>
      <c r="CF36" s="142">
        <f t="shared" si="40"/>
        <v>-28223.430000000004</v>
      </c>
      <c r="CG36" s="142">
        <f t="shared" si="40"/>
        <v>-30575.41</v>
      </c>
      <c r="CH36" s="142">
        <f t="shared" si="40"/>
        <v>-1000.93</v>
      </c>
      <c r="CI36" s="142">
        <f t="shared" si="40"/>
        <v>72818.67</v>
      </c>
      <c r="CJ36" s="149">
        <f t="shared" si="40"/>
        <v>-1067200.58</v>
      </c>
      <c r="CK36" s="142">
        <f t="shared" si="40"/>
        <v>99979.69</v>
      </c>
      <c r="CL36" s="142">
        <f t="shared" si="40"/>
        <v>-296837.2</v>
      </c>
      <c r="CM36" s="142">
        <f t="shared" si="40"/>
        <v>-27161.020000000004</v>
      </c>
      <c r="CN36" s="149">
        <f t="shared" si="40"/>
        <v>-4363.5</v>
      </c>
      <c r="CO36" s="142">
        <f t="shared" si="40"/>
        <v>-1454.5000000000002</v>
      </c>
      <c r="CP36" s="137">
        <f t="shared" si="40"/>
        <v>-329816.22000000009</v>
      </c>
      <c r="CQ36" s="149">
        <f t="shared" si="40"/>
        <v>-1290010.07</v>
      </c>
      <c r="CR36" s="138">
        <f t="shared" si="33"/>
        <v>1209.0400000000373</v>
      </c>
    </row>
    <row r="37" spans="1:96" ht="15" x14ac:dyDescent="0.25">
      <c r="C37" s="11" t="s">
        <v>171</v>
      </c>
      <c r="D37" s="11"/>
      <c r="E37" s="149">
        <f>E36-E38</f>
        <v>0</v>
      </c>
      <c r="F37" s="142">
        <f>F36-F38</f>
        <v>0</v>
      </c>
      <c r="G37" s="142">
        <f t="shared" ref="G37:P37" si="41">G36-G38</f>
        <v>0</v>
      </c>
      <c r="H37" s="142">
        <f t="shared" si="41"/>
        <v>0</v>
      </c>
      <c r="I37" s="142">
        <f t="shared" si="41"/>
        <v>0</v>
      </c>
      <c r="J37" s="142">
        <f t="shared" si="41"/>
        <v>0</v>
      </c>
      <c r="K37" s="142">
        <f t="shared" si="41"/>
        <v>0</v>
      </c>
      <c r="L37" s="142">
        <f>L36-L38</f>
        <v>0</v>
      </c>
      <c r="M37" s="142">
        <f>M36-M38</f>
        <v>0</v>
      </c>
      <c r="N37" s="143">
        <f t="shared" si="41"/>
        <v>0</v>
      </c>
      <c r="O37" s="149">
        <f t="shared" si="41"/>
        <v>0</v>
      </c>
      <c r="P37" s="142">
        <f t="shared" si="41"/>
        <v>0</v>
      </c>
      <c r="Q37" s="142">
        <f t="shared" ref="Q37:CO37" si="42">Q36-Q38</f>
        <v>0</v>
      </c>
      <c r="R37" s="142">
        <f t="shared" si="42"/>
        <v>0</v>
      </c>
      <c r="S37" s="142">
        <f t="shared" si="42"/>
        <v>0</v>
      </c>
      <c r="T37" s="142">
        <f t="shared" si="42"/>
        <v>0</v>
      </c>
      <c r="U37" s="142">
        <f t="shared" si="42"/>
        <v>0</v>
      </c>
      <c r="V37" s="142">
        <f>V36-V38</f>
        <v>0</v>
      </c>
      <c r="W37" s="142">
        <f>W36-W38</f>
        <v>0</v>
      </c>
      <c r="X37" s="143">
        <f>X36-X38</f>
        <v>0</v>
      </c>
      <c r="Y37" s="149">
        <f t="shared" si="42"/>
        <v>0</v>
      </c>
      <c r="Z37" s="142">
        <f t="shared" si="42"/>
        <v>0</v>
      </c>
      <c r="AA37" s="142">
        <f t="shared" si="42"/>
        <v>0</v>
      </c>
      <c r="AB37" s="142">
        <f t="shared" si="42"/>
        <v>0</v>
      </c>
      <c r="AC37" s="142">
        <f t="shared" si="42"/>
        <v>0</v>
      </c>
      <c r="AD37" s="142">
        <f t="shared" si="42"/>
        <v>0</v>
      </c>
      <c r="AE37" s="142">
        <f t="shared" si="42"/>
        <v>0</v>
      </c>
      <c r="AF37" s="142">
        <f>AF36-AF38</f>
        <v>0</v>
      </c>
      <c r="AG37" s="142">
        <f>AG36-AG38</f>
        <v>0</v>
      </c>
      <c r="AH37" s="143">
        <f>AH36-AH38</f>
        <v>0</v>
      </c>
      <c r="AI37" s="149">
        <f t="shared" si="42"/>
        <v>0</v>
      </c>
      <c r="AJ37" s="142">
        <f t="shared" si="42"/>
        <v>0</v>
      </c>
      <c r="AK37" s="142">
        <f t="shared" si="42"/>
        <v>0</v>
      </c>
      <c r="AL37" s="142">
        <f t="shared" si="42"/>
        <v>0</v>
      </c>
      <c r="AM37" s="142">
        <f t="shared" si="42"/>
        <v>0</v>
      </c>
      <c r="AN37" s="142">
        <f t="shared" si="42"/>
        <v>0</v>
      </c>
      <c r="AO37" s="142">
        <f t="shared" si="42"/>
        <v>0</v>
      </c>
      <c r="AP37" s="142">
        <f>AP36-AP38</f>
        <v>0</v>
      </c>
      <c r="AQ37" s="142">
        <f>AQ36-AQ38</f>
        <v>0</v>
      </c>
      <c r="AR37" s="143">
        <f>AR36-AR38</f>
        <v>0</v>
      </c>
      <c r="AS37" s="149">
        <f t="shared" si="42"/>
        <v>0</v>
      </c>
      <c r="AT37" s="142">
        <f t="shared" si="42"/>
        <v>0</v>
      </c>
      <c r="AU37" s="142">
        <f t="shared" si="42"/>
        <v>0</v>
      </c>
      <c r="AV37" s="142">
        <f t="shared" si="42"/>
        <v>0</v>
      </c>
      <c r="AW37" s="142">
        <f t="shared" si="42"/>
        <v>0</v>
      </c>
      <c r="AX37" s="142">
        <f t="shared" si="42"/>
        <v>0</v>
      </c>
      <c r="AY37" s="142">
        <f t="shared" si="42"/>
        <v>0</v>
      </c>
      <c r="AZ37" s="142">
        <f>AZ36-AZ38</f>
        <v>0</v>
      </c>
      <c r="BA37" s="142">
        <f>BA36-BA38</f>
        <v>0</v>
      </c>
      <c r="BB37" s="143">
        <f>BB36-BB38</f>
        <v>0</v>
      </c>
      <c r="BC37" s="149">
        <f t="shared" si="42"/>
        <v>0</v>
      </c>
      <c r="BD37" s="142">
        <f t="shared" si="42"/>
        <v>0</v>
      </c>
      <c r="BE37" s="142">
        <f t="shared" si="42"/>
        <v>0</v>
      </c>
      <c r="BF37" s="142">
        <f t="shared" si="42"/>
        <v>0</v>
      </c>
      <c r="BG37" s="142">
        <f t="shared" si="42"/>
        <v>0</v>
      </c>
      <c r="BH37" s="142">
        <f t="shared" si="42"/>
        <v>0</v>
      </c>
      <c r="BI37" s="142">
        <f t="shared" si="42"/>
        <v>0</v>
      </c>
      <c r="BJ37" s="142">
        <f t="shared" ref="BJ37:CM37" si="43">BJ36-BJ38</f>
        <v>0</v>
      </c>
      <c r="BK37" s="142">
        <f t="shared" si="43"/>
        <v>0</v>
      </c>
      <c r="BL37" s="143">
        <f t="shared" si="43"/>
        <v>0</v>
      </c>
      <c r="BM37" s="149">
        <f t="shared" si="43"/>
        <v>0</v>
      </c>
      <c r="BN37" s="142">
        <f t="shared" si="43"/>
        <v>-381854.43</v>
      </c>
      <c r="BO37" s="142">
        <f t="shared" si="43"/>
        <v>0</v>
      </c>
      <c r="BP37" s="142">
        <f t="shared" si="43"/>
        <v>-1669450.0100000002</v>
      </c>
      <c r="BQ37" s="142">
        <f t="shared" si="43"/>
        <v>-2051304.4400000004</v>
      </c>
      <c r="BR37" s="142">
        <f t="shared" si="43"/>
        <v>0</v>
      </c>
      <c r="BS37" s="142">
        <f t="shared" si="43"/>
        <v>-18853.78</v>
      </c>
      <c r="BT37" s="142">
        <f t="shared" si="43"/>
        <v>0</v>
      </c>
      <c r="BU37" s="142">
        <f t="shared" si="43"/>
        <v>99815.37999999999</v>
      </c>
      <c r="BV37" s="143">
        <f t="shared" si="43"/>
        <v>80961.599999999991</v>
      </c>
      <c r="BW37" s="149">
        <f t="shared" ref="BW37:CI37" si="44">BW36-BW38</f>
        <v>-2051304.4400000004</v>
      </c>
      <c r="BX37" s="142">
        <f t="shared" si="44"/>
        <v>-525687.09</v>
      </c>
      <c r="BY37" s="142">
        <f t="shared" si="44"/>
        <v>-750461.35</v>
      </c>
      <c r="BZ37" s="142">
        <f t="shared" si="44"/>
        <v>0</v>
      </c>
      <c r="CA37" s="142">
        <f t="shared" si="44"/>
        <v>0</v>
      </c>
      <c r="CB37" s="142">
        <f t="shared" si="44"/>
        <v>0</v>
      </c>
      <c r="CC37" s="142">
        <f t="shared" si="44"/>
        <v>-208.11</v>
      </c>
      <c r="CD37" s="142">
        <f t="shared" si="44"/>
        <v>-1826738.29</v>
      </c>
      <c r="CE37" s="142">
        <f t="shared" si="44"/>
        <v>80961.599999999991</v>
      </c>
      <c r="CF37" s="142">
        <f t="shared" si="44"/>
        <v>-23851.550000000003</v>
      </c>
      <c r="CG37" s="142">
        <f t="shared" si="44"/>
        <v>-18745.46</v>
      </c>
      <c r="CH37" s="142">
        <f t="shared" si="44"/>
        <v>-1000.93</v>
      </c>
      <c r="CI37" s="143">
        <f t="shared" si="44"/>
        <v>74854.58</v>
      </c>
      <c r="CJ37" s="149">
        <f t="shared" si="43"/>
        <v>-918828.70000000007</v>
      </c>
      <c r="CK37" s="142">
        <f t="shared" si="43"/>
        <v>100551.8</v>
      </c>
      <c r="CL37" s="142">
        <f t="shared" si="43"/>
        <v>-907909.58999999985</v>
      </c>
      <c r="CM37" s="143">
        <f t="shared" si="43"/>
        <v>-25697.220000000005</v>
      </c>
      <c r="CN37" s="142">
        <f t="shared" si="42"/>
        <v>-13346.26</v>
      </c>
      <c r="CO37" s="142">
        <f t="shared" si="42"/>
        <v>-4448.75</v>
      </c>
      <c r="CP37" s="137">
        <f t="shared" si="32"/>
        <v>-951401.81999999983</v>
      </c>
      <c r="CQ37" s="150">
        <f>CQ36-CQ38</f>
        <v>-1750674.6700000002</v>
      </c>
      <c r="CR37" s="137">
        <f t="shared" si="33"/>
        <v>1209.0399999998044</v>
      </c>
    </row>
    <row r="38" spans="1:96" ht="15" x14ac:dyDescent="0.25">
      <c r="C38" s="12" t="str">
        <f>C29</f>
        <v>RSVA - Global Adjustment</v>
      </c>
      <c r="D38" s="13">
        <v>1589</v>
      </c>
      <c r="E38" s="149">
        <f>E29</f>
        <v>0</v>
      </c>
      <c r="F38" s="142">
        <f>F29</f>
        <v>0</v>
      </c>
      <c r="G38" s="142">
        <f t="shared" ref="G38:P38" si="45">G29</f>
        <v>0</v>
      </c>
      <c r="H38" s="142">
        <f t="shared" si="45"/>
        <v>0</v>
      </c>
      <c r="I38" s="142">
        <f t="shared" si="45"/>
        <v>0</v>
      </c>
      <c r="J38" s="142">
        <f t="shared" si="45"/>
        <v>0</v>
      </c>
      <c r="K38" s="142">
        <f t="shared" si="45"/>
        <v>0</v>
      </c>
      <c r="L38" s="142">
        <f>L29</f>
        <v>0</v>
      </c>
      <c r="M38" s="142">
        <f>M29</f>
        <v>0</v>
      </c>
      <c r="N38" s="143">
        <f t="shared" si="45"/>
        <v>0</v>
      </c>
      <c r="O38" s="149">
        <f t="shared" si="45"/>
        <v>0</v>
      </c>
      <c r="P38" s="142">
        <f t="shared" si="45"/>
        <v>0</v>
      </c>
      <c r="Q38" s="142">
        <f t="shared" ref="Q38:Z38" si="46">Q29</f>
        <v>0</v>
      </c>
      <c r="R38" s="142">
        <f t="shared" si="46"/>
        <v>0</v>
      </c>
      <c r="S38" s="142">
        <f t="shared" si="46"/>
        <v>0</v>
      </c>
      <c r="T38" s="142">
        <f t="shared" si="46"/>
        <v>0</v>
      </c>
      <c r="U38" s="142">
        <f t="shared" si="46"/>
        <v>0</v>
      </c>
      <c r="V38" s="142">
        <f t="shared" si="46"/>
        <v>0</v>
      </c>
      <c r="W38" s="142">
        <f t="shared" si="46"/>
        <v>0</v>
      </c>
      <c r="X38" s="143">
        <f t="shared" si="46"/>
        <v>0</v>
      </c>
      <c r="Y38" s="149">
        <f t="shared" si="46"/>
        <v>0</v>
      </c>
      <c r="Z38" s="142">
        <f t="shared" si="46"/>
        <v>0</v>
      </c>
      <c r="AA38" s="142">
        <f t="shared" ref="AA38:BB38" si="47">AA29</f>
        <v>0</v>
      </c>
      <c r="AB38" s="142">
        <f t="shared" si="47"/>
        <v>0</v>
      </c>
      <c r="AC38" s="142">
        <f t="shared" si="47"/>
        <v>0</v>
      </c>
      <c r="AD38" s="142">
        <f t="shared" si="47"/>
        <v>0</v>
      </c>
      <c r="AE38" s="142">
        <f t="shared" si="47"/>
        <v>0</v>
      </c>
      <c r="AF38" s="142">
        <f t="shared" si="47"/>
        <v>0</v>
      </c>
      <c r="AG38" s="142">
        <f t="shared" si="47"/>
        <v>0</v>
      </c>
      <c r="AH38" s="143">
        <f t="shared" si="47"/>
        <v>0</v>
      </c>
      <c r="AI38" s="149">
        <f t="shared" si="47"/>
        <v>0</v>
      </c>
      <c r="AJ38" s="142">
        <f t="shared" si="47"/>
        <v>0</v>
      </c>
      <c r="AK38" s="142">
        <f t="shared" si="47"/>
        <v>0</v>
      </c>
      <c r="AL38" s="142">
        <f t="shared" si="47"/>
        <v>0</v>
      </c>
      <c r="AM38" s="142">
        <f t="shared" si="47"/>
        <v>0</v>
      </c>
      <c r="AN38" s="142">
        <f t="shared" si="47"/>
        <v>0</v>
      </c>
      <c r="AO38" s="142">
        <f t="shared" si="47"/>
        <v>0</v>
      </c>
      <c r="AP38" s="142">
        <f>AP29</f>
        <v>0</v>
      </c>
      <c r="AQ38" s="142">
        <f>AQ29</f>
        <v>0</v>
      </c>
      <c r="AR38" s="143">
        <f>AR29</f>
        <v>0</v>
      </c>
      <c r="AS38" s="149">
        <f t="shared" si="47"/>
        <v>0</v>
      </c>
      <c r="AT38" s="142">
        <f t="shared" si="47"/>
        <v>0</v>
      </c>
      <c r="AU38" s="142">
        <f t="shared" si="47"/>
        <v>0</v>
      </c>
      <c r="AV38" s="142">
        <f t="shared" si="47"/>
        <v>0</v>
      </c>
      <c r="AW38" s="142">
        <f t="shared" si="47"/>
        <v>0</v>
      </c>
      <c r="AX38" s="142">
        <f t="shared" si="47"/>
        <v>0</v>
      </c>
      <c r="AY38" s="142">
        <f t="shared" si="47"/>
        <v>0</v>
      </c>
      <c r="AZ38" s="142">
        <f t="shared" si="47"/>
        <v>0</v>
      </c>
      <c r="BA38" s="142">
        <f t="shared" si="47"/>
        <v>0</v>
      </c>
      <c r="BB38" s="143">
        <f t="shared" si="47"/>
        <v>0</v>
      </c>
      <c r="BC38" s="149">
        <f t="shared" ref="BC38:BL38" si="48">BC29</f>
        <v>0</v>
      </c>
      <c r="BD38" s="142">
        <f t="shared" si="48"/>
        <v>0</v>
      </c>
      <c r="BE38" s="142">
        <f t="shared" si="48"/>
        <v>0</v>
      </c>
      <c r="BF38" s="142">
        <f t="shared" si="48"/>
        <v>0</v>
      </c>
      <c r="BG38" s="142">
        <f t="shared" si="48"/>
        <v>0</v>
      </c>
      <c r="BH38" s="142">
        <f t="shared" si="48"/>
        <v>0</v>
      </c>
      <c r="BI38" s="142">
        <f t="shared" si="48"/>
        <v>0</v>
      </c>
      <c r="BJ38" s="142">
        <f t="shared" si="48"/>
        <v>0</v>
      </c>
      <c r="BK38" s="142">
        <f t="shared" si="48"/>
        <v>0</v>
      </c>
      <c r="BL38" s="143">
        <f t="shared" si="48"/>
        <v>0</v>
      </c>
      <c r="BM38" s="149">
        <f t="shared" ref="BM38:BV38" si="49">BM29</f>
        <v>0</v>
      </c>
      <c r="BN38" s="142">
        <f t="shared" si="49"/>
        <v>0</v>
      </c>
      <c r="BO38" s="142">
        <f t="shared" si="49"/>
        <v>0</v>
      </c>
      <c r="BP38" s="142">
        <f t="shared" si="49"/>
        <v>-539078.19000000006</v>
      </c>
      <c r="BQ38" s="142">
        <f t="shared" si="49"/>
        <v>-539078.19000000006</v>
      </c>
      <c r="BR38" s="142">
        <f t="shared" si="49"/>
        <v>0</v>
      </c>
      <c r="BS38" s="142">
        <f t="shared" si="49"/>
        <v>0</v>
      </c>
      <c r="BT38" s="142">
        <f t="shared" si="49"/>
        <v>0</v>
      </c>
      <c r="BU38" s="142">
        <f t="shared" si="49"/>
        <v>-9493.98</v>
      </c>
      <c r="BV38" s="143">
        <f t="shared" si="49"/>
        <v>-9493.98</v>
      </c>
      <c r="BW38" s="149">
        <f t="shared" ref="BW38:CI38" si="50">BW29</f>
        <v>-539078.19000000006</v>
      </c>
      <c r="BX38" s="142">
        <f t="shared" si="50"/>
        <v>611072.09</v>
      </c>
      <c r="BY38" s="142">
        <f t="shared" si="50"/>
        <v>-390706.61</v>
      </c>
      <c r="BZ38" s="142">
        <f t="shared" si="50"/>
        <v>0</v>
      </c>
      <c r="CA38" s="142">
        <f t="shared" si="50"/>
        <v>0</v>
      </c>
      <c r="CB38" s="142">
        <f t="shared" si="50"/>
        <v>0</v>
      </c>
      <c r="CC38" s="142">
        <f t="shared" si="50"/>
        <v>0</v>
      </c>
      <c r="CD38" s="142">
        <f t="shared" si="50"/>
        <v>462700.50999999989</v>
      </c>
      <c r="CE38" s="142">
        <f t="shared" si="50"/>
        <v>-9493.98</v>
      </c>
      <c r="CF38" s="142">
        <f t="shared" si="50"/>
        <v>-4371.88</v>
      </c>
      <c r="CG38" s="142">
        <f t="shared" si="50"/>
        <v>-11829.95</v>
      </c>
      <c r="CH38" s="142">
        <f t="shared" si="50"/>
        <v>0</v>
      </c>
      <c r="CI38" s="143">
        <f t="shared" si="50"/>
        <v>-2035.9099999999999</v>
      </c>
      <c r="CJ38" s="149">
        <f t="shared" ref="CJ38:CO38" si="51">CJ29</f>
        <v>-148371.88</v>
      </c>
      <c r="CK38" s="142">
        <f t="shared" si="51"/>
        <v>-572.11</v>
      </c>
      <c r="CL38" s="142">
        <f t="shared" si="51"/>
        <v>611072.3899999999</v>
      </c>
      <c r="CM38" s="143">
        <f t="shared" si="51"/>
        <v>-1463.7999999999997</v>
      </c>
      <c r="CN38" s="142">
        <f t="shared" si="51"/>
        <v>8982.76</v>
      </c>
      <c r="CO38" s="142">
        <f t="shared" si="51"/>
        <v>2994.25</v>
      </c>
      <c r="CP38" s="137">
        <f t="shared" si="32"/>
        <v>621585.59999999986</v>
      </c>
      <c r="CQ38" s="150">
        <f>CQ29</f>
        <v>460664.60000000003</v>
      </c>
      <c r="CR38" s="137">
        <f t="shared" si="33"/>
        <v>0</v>
      </c>
    </row>
    <row r="39" spans="1:96" ht="15" x14ac:dyDescent="0.25">
      <c r="C39" s="12"/>
      <c r="D39" s="12"/>
      <c r="E39" s="149"/>
      <c r="F39" s="142"/>
      <c r="G39" s="142"/>
      <c r="H39" s="142"/>
      <c r="I39" s="142"/>
      <c r="J39" s="142"/>
      <c r="K39" s="142"/>
      <c r="L39" s="142"/>
      <c r="M39" s="142"/>
      <c r="N39" s="143"/>
      <c r="O39" s="149"/>
      <c r="P39" s="142"/>
      <c r="Q39" s="142"/>
      <c r="R39" s="142"/>
      <c r="S39" s="142"/>
      <c r="T39" s="142"/>
      <c r="U39" s="142"/>
      <c r="V39" s="142"/>
      <c r="W39" s="142"/>
      <c r="X39" s="143"/>
      <c r="Y39" s="149"/>
      <c r="Z39" s="142"/>
      <c r="AA39" s="142"/>
      <c r="AB39" s="142"/>
      <c r="AC39" s="142"/>
      <c r="AD39" s="142"/>
      <c r="AE39" s="142"/>
      <c r="AF39" s="142"/>
      <c r="AG39" s="142"/>
      <c r="AH39" s="143"/>
      <c r="AI39" s="149"/>
      <c r="AJ39" s="142"/>
      <c r="AK39" s="142"/>
      <c r="AL39" s="142"/>
      <c r="AM39" s="142"/>
      <c r="AN39" s="142"/>
      <c r="AO39" s="142"/>
      <c r="AP39" s="142"/>
      <c r="AQ39" s="142"/>
      <c r="AR39" s="143"/>
      <c r="AS39" s="149"/>
      <c r="AT39" s="142"/>
      <c r="AU39" s="142"/>
      <c r="AV39" s="142"/>
      <c r="AW39" s="142"/>
      <c r="AX39" s="142"/>
      <c r="AY39" s="142"/>
      <c r="AZ39" s="142"/>
      <c r="BA39" s="142"/>
      <c r="BB39" s="143"/>
      <c r="BC39" s="149"/>
      <c r="BD39" s="142"/>
      <c r="BE39" s="142"/>
      <c r="BF39" s="142"/>
      <c r="BG39" s="142"/>
      <c r="BH39" s="142"/>
      <c r="BI39" s="142"/>
      <c r="BJ39" s="142"/>
      <c r="BK39" s="142"/>
      <c r="BL39" s="143"/>
      <c r="BM39" s="149"/>
      <c r="BN39" s="142"/>
      <c r="BO39" s="142"/>
      <c r="BP39" s="142"/>
      <c r="BQ39" s="142"/>
      <c r="BR39" s="142"/>
      <c r="BS39" s="142"/>
      <c r="BT39" s="142"/>
      <c r="BU39" s="142"/>
      <c r="BV39" s="143"/>
      <c r="BW39" s="149"/>
      <c r="BX39" s="142"/>
      <c r="BY39" s="142"/>
      <c r="BZ39" s="142"/>
      <c r="CA39" s="142"/>
      <c r="CB39" s="142"/>
      <c r="CC39" s="142"/>
      <c r="CD39" s="142"/>
      <c r="CE39" s="142"/>
      <c r="CF39" s="142"/>
      <c r="CG39" s="142"/>
      <c r="CH39" s="142"/>
      <c r="CI39" s="143"/>
      <c r="CJ39" s="149"/>
      <c r="CK39" s="142"/>
      <c r="CL39" s="142"/>
      <c r="CM39" s="143"/>
      <c r="CN39" s="136"/>
      <c r="CO39" s="136"/>
      <c r="CP39" s="137"/>
      <c r="CQ39" s="138"/>
      <c r="CR39" s="137"/>
    </row>
    <row r="40" spans="1:96" ht="35.25" customHeight="1" thickBot="1" x14ac:dyDescent="0.3">
      <c r="C40" s="59" t="s">
        <v>61</v>
      </c>
      <c r="D40" s="12"/>
      <c r="E40" s="149"/>
      <c r="F40" s="142"/>
      <c r="G40" s="142"/>
      <c r="H40" s="142"/>
      <c r="I40" s="142"/>
      <c r="J40" s="142"/>
      <c r="K40" s="142"/>
      <c r="L40" s="142"/>
      <c r="M40" s="142"/>
      <c r="N40" s="143"/>
      <c r="O40" s="149"/>
      <c r="P40" s="142"/>
      <c r="Q40" s="142"/>
      <c r="R40" s="142"/>
      <c r="S40" s="142"/>
      <c r="T40" s="142"/>
      <c r="U40" s="142"/>
      <c r="V40" s="142"/>
      <c r="W40" s="142"/>
      <c r="X40" s="143"/>
      <c r="Y40" s="149"/>
      <c r="Z40" s="142"/>
      <c r="AA40" s="142"/>
      <c r="AB40" s="142"/>
      <c r="AC40" s="142"/>
      <c r="AD40" s="142"/>
      <c r="AE40" s="142"/>
      <c r="AF40" s="142"/>
      <c r="AG40" s="142"/>
      <c r="AH40" s="143"/>
      <c r="AI40" s="149"/>
      <c r="AJ40" s="142"/>
      <c r="AK40" s="142"/>
      <c r="AL40" s="142"/>
      <c r="AM40" s="142"/>
      <c r="AN40" s="142"/>
      <c r="AO40" s="142"/>
      <c r="AP40" s="142"/>
      <c r="AQ40" s="142"/>
      <c r="AR40" s="143"/>
      <c r="AS40" s="149"/>
      <c r="AT40" s="142"/>
      <c r="AU40" s="142"/>
      <c r="AV40" s="142"/>
      <c r="AW40" s="142"/>
      <c r="AX40" s="142"/>
      <c r="AY40" s="142"/>
      <c r="AZ40" s="142"/>
      <c r="BA40" s="142"/>
      <c r="BB40" s="143"/>
      <c r="BC40" s="149"/>
      <c r="BD40" s="142"/>
      <c r="BE40" s="142"/>
      <c r="BF40" s="142"/>
      <c r="BG40" s="142"/>
      <c r="BH40" s="142"/>
      <c r="BI40" s="142"/>
      <c r="BJ40" s="142"/>
      <c r="BK40" s="142"/>
      <c r="BL40" s="143"/>
      <c r="BM40" s="149"/>
      <c r="BN40" s="142"/>
      <c r="BO40" s="142"/>
      <c r="BP40" s="142"/>
      <c r="BQ40" s="142"/>
      <c r="BR40" s="142"/>
      <c r="BS40" s="142"/>
      <c r="BT40" s="142"/>
      <c r="BU40" s="142"/>
      <c r="BV40" s="143"/>
      <c r="BW40" s="149"/>
      <c r="BX40" s="142"/>
      <c r="BY40" s="142"/>
      <c r="BZ40" s="142"/>
      <c r="CA40" s="142"/>
      <c r="CB40" s="142"/>
      <c r="CC40" s="142"/>
      <c r="CD40" s="142"/>
      <c r="CE40" s="142"/>
      <c r="CF40" s="142"/>
      <c r="CG40" s="142"/>
      <c r="CH40" s="142"/>
      <c r="CI40" s="143"/>
      <c r="CJ40" s="149"/>
      <c r="CK40" s="142"/>
      <c r="CL40" s="142"/>
      <c r="CM40" s="143"/>
      <c r="CN40" s="136"/>
      <c r="CO40" s="136"/>
      <c r="CP40" s="137"/>
      <c r="CQ40" s="138"/>
      <c r="CR40" s="137"/>
    </row>
    <row r="41" spans="1:96" ht="15" thickBot="1" x14ac:dyDescent="0.25">
      <c r="A41" s="1">
        <v>11</v>
      </c>
      <c r="C41" s="5" t="s">
        <v>14</v>
      </c>
      <c r="D41" s="8">
        <v>1508</v>
      </c>
      <c r="E41" s="140"/>
      <c r="F41" s="141"/>
      <c r="G41" s="141"/>
      <c r="H41" s="141"/>
      <c r="I41" s="142">
        <f t="shared" ref="I41:I61" si="52">E41+F41-G41+H41</f>
        <v>0</v>
      </c>
      <c r="J41" s="141"/>
      <c r="K41" s="141"/>
      <c r="L41" s="141"/>
      <c r="M41" s="141"/>
      <c r="N41" s="143">
        <f t="shared" ref="N41:N61" si="53">J41+K41-L41+M41</f>
        <v>0</v>
      </c>
      <c r="O41" s="144">
        <f t="shared" ref="O41:O49" si="54">I41</f>
        <v>0</v>
      </c>
      <c r="P41" s="141"/>
      <c r="Q41" s="141"/>
      <c r="R41" s="141"/>
      <c r="S41" s="142">
        <f t="shared" ref="S41:S61" si="55">O41+P41-Q41+R41</f>
        <v>0</v>
      </c>
      <c r="T41" s="145">
        <f t="shared" ref="T41:T61" si="56">N41</f>
        <v>0</v>
      </c>
      <c r="U41" s="141"/>
      <c r="V41" s="141"/>
      <c r="W41" s="141"/>
      <c r="X41" s="143">
        <f t="shared" ref="X41:X61" si="57">T41+U41-V41+W41</f>
        <v>0</v>
      </c>
      <c r="Y41" s="144">
        <f t="shared" ref="Y41:Y49" si="58">S41</f>
        <v>0</v>
      </c>
      <c r="Z41" s="141"/>
      <c r="AA41" s="141"/>
      <c r="AB41" s="141"/>
      <c r="AC41" s="142">
        <f t="shared" ref="AC41:AC61" si="59">Y41+Z41-AA41+AB41</f>
        <v>0</v>
      </c>
      <c r="AD41" s="145">
        <f t="shared" ref="AD41:AD49" si="60">X41</f>
        <v>0</v>
      </c>
      <c r="AE41" s="141"/>
      <c r="AF41" s="141"/>
      <c r="AG41" s="141"/>
      <c r="AH41" s="143">
        <f t="shared" ref="AH41:AH61" si="61">AD41+AE41-AF41+AG41</f>
        <v>0</v>
      </c>
      <c r="AI41" s="144">
        <f t="shared" ref="AI41:AI49" si="62">AC41</f>
        <v>0</v>
      </c>
      <c r="AJ41" s="141"/>
      <c r="AK41" s="141"/>
      <c r="AL41" s="141"/>
      <c r="AM41" s="142">
        <f t="shared" ref="AM41:AM61" si="63">AI41+AJ41-AK41+AL41</f>
        <v>0</v>
      </c>
      <c r="AN41" s="145">
        <f t="shared" ref="AN41:AN49" si="64">AH41</f>
        <v>0</v>
      </c>
      <c r="AO41" s="141"/>
      <c r="AP41" s="141"/>
      <c r="AQ41" s="141"/>
      <c r="AR41" s="143">
        <f t="shared" ref="AR41:AR61" si="65">AN41+AO41-AP41+AQ41</f>
        <v>0</v>
      </c>
      <c r="AS41" s="144">
        <f t="shared" ref="AS41:AS49" si="66">AM41</f>
        <v>0</v>
      </c>
      <c r="AT41" s="141"/>
      <c r="AU41" s="141"/>
      <c r="AV41" s="141"/>
      <c r="AW41" s="142">
        <f t="shared" ref="AW41:AW61" si="67">AS41+AT41-AU41+AV41</f>
        <v>0</v>
      </c>
      <c r="AX41" s="145">
        <f t="shared" ref="AX41:AX56" si="68">AR41</f>
        <v>0</v>
      </c>
      <c r="AY41" s="141"/>
      <c r="AZ41" s="141"/>
      <c r="BA41" s="141"/>
      <c r="BB41" s="143">
        <f t="shared" ref="BB41:BB61" si="69">AX41+AY41-AZ41+BA41</f>
        <v>0</v>
      </c>
      <c r="BC41" s="144">
        <f>AW41</f>
        <v>0</v>
      </c>
      <c r="BD41" s="141"/>
      <c r="BE41" s="141"/>
      <c r="BF41" s="141"/>
      <c r="BG41" s="142">
        <f t="shared" ref="BG41:BG61" si="70">BC41+BD41-BE41+SUM(BF41:BF41)</f>
        <v>0</v>
      </c>
      <c r="BH41" s="145">
        <f t="shared" ref="BH41:BH61" si="71">BB41</f>
        <v>0</v>
      </c>
      <c r="BI41" s="141"/>
      <c r="BJ41" s="141"/>
      <c r="BK41" s="141"/>
      <c r="BL41" s="143">
        <f t="shared" ref="BL41:BL61" si="72">BH41+BI41-BJ41+BK41</f>
        <v>0</v>
      </c>
      <c r="BM41" s="144">
        <f t="shared" ref="BM41:BM46" si="73">BG41</f>
        <v>0</v>
      </c>
      <c r="BN41" s="141"/>
      <c r="BO41" s="141"/>
      <c r="BP41" s="141"/>
      <c r="BQ41" s="142">
        <f t="shared" ref="BQ41:BQ61" si="74">BM41+BN41-BO41+SUM(BP41:BP41)</f>
        <v>0</v>
      </c>
      <c r="BR41" s="145">
        <f t="shared" ref="BR41:BR61" si="75">BL41</f>
        <v>0</v>
      </c>
      <c r="BS41" s="141"/>
      <c r="BT41" s="141"/>
      <c r="BU41" s="141"/>
      <c r="BV41" s="143">
        <f t="shared" ref="BV41:BV46" si="76">BR41+BS41-BT41+BU41</f>
        <v>0</v>
      </c>
      <c r="BW41" s="144">
        <f t="shared" ref="BW41:BW57" si="77">BQ41</f>
        <v>0</v>
      </c>
      <c r="BX41" s="141"/>
      <c r="BY41" s="141"/>
      <c r="BZ41" s="141"/>
      <c r="CA41" s="141"/>
      <c r="CB41" s="141"/>
      <c r="CC41" s="141"/>
      <c r="CD41" s="142">
        <f t="shared" ref="CD41:CD44" si="78">BW41+BX41-BY41+SUM(BZ41:CC41)</f>
        <v>0</v>
      </c>
      <c r="CE41" s="145">
        <f t="shared" ref="CE41:CE44" si="79">BV41</f>
        <v>0</v>
      </c>
      <c r="CF41" s="141"/>
      <c r="CG41" s="141"/>
      <c r="CH41" s="141"/>
      <c r="CI41" s="143">
        <f t="shared" ref="CI41:CI56" si="80">CE41+CF41-CG41+CH41</f>
        <v>0</v>
      </c>
      <c r="CJ41" s="140"/>
      <c r="CK41" s="141"/>
      <c r="CL41" s="145">
        <f>CD41-CJ41</f>
        <v>0</v>
      </c>
      <c r="CM41" s="146">
        <f>CI41-CK41</f>
        <v>0</v>
      </c>
      <c r="CN41" s="147"/>
      <c r="CO41" s="141"/>
      <c r="CP41" s="137">
        <f t="shared" si="32"/>
        <v>0</v>
      </c>
      <c r="CQ41" s="148"/>
      <c r="CR41" s="137">
        <f t="shared" si="33"/>
        <v>0</v>
      </c>
    </row>
    <row r="42" spans="1:96" ht="15" thickBot="1" x14ac:dyDescent="0.25">
      <c r="A42" s="1">
        <v>12</v>
      </c>
      <c r="C42" s="5" t="s">
        <v>15</v>
      </c>
      <c r="D42" s="8">
        <v>1508</v>
      </c>
      <c r="E42" s="140"/>
      <c r="F42" s="141"/>
      <c r="G42" s="141"/>
      <c r="H42" s="141"/>
      <c r="I42" s="142">
        <f t="shared" si="52"/>
        <v>0</v>
      </c>
      <c r="J42" s="141"/>
      <c r="K42" s="141"/>
      <c r="L42" s="141"/>
      <c r="M42" s="141"/>
      <c r="N42" s="143">
        <f t="shared" si="53"/>
        <v>0</v>
      </c>
      <c r="O42" s="144">
        <f t="shared" si="54"/>
        <v>0</v>
      </c>
      <c r="P42" s="141"/>
      <c r="Q42" s="141"/>
      <c r="R42" s="141"/>
      <c r="S42" s="142">
        <f t="shared" si="55"/>
        <v>0</v>
      </c>
      <c r="T42" s="145">
        <f t="shared" si="56"/>
        <v>0</v>
      </c>
      <c r="U42" s="141"/>
      <c r="V42" s="141"/>
      <c r="W42" s="141"/>
      <c r="X42" s="143">
        <f t="shared" si="57"/>
        <v>0</v>
      </c>
      <c r="Y42" s="144">
        <f t="shared" si="58"/>
        <v>0</v>
      </c>
      <c r="Z42" s="141"/>
      <c r="AA42" s="141"/>
      <c r="AB42" s="141"/>
      <c r="AC42" s="142">
        <f t="shared" si="59"/>
        <v>0</v>
      </c>
      <c r="AD42" s="145">
        <f t="shared" si="60"/>
        <v>0</v>
      </c>
      <c r="AE42" s="141"/>
      <c r="AF42" s="141"/>
      <c r="AG42" s="141"/>
      <c r="AH42" s="143">
        <f t="shared" si="61"/>
        <v>0</v>
      </c>
      <c r="AI42" s="144">
        <f t="shared" si="62"/>
        <v>0</v>
      </c>
      <c r="AJ42" s="141"/>
      <c r="AK42" s="141"/>
      <c r="AL42" s="141"/>
      <c r="AM42" s="142">
        <f t="shared" si="63"/>
        <v>0</v>
      </c>
      <c r="AN42" s="145">
        <f t="shared" si="64"/>
        <v>0</v>
      </c>
      <c r="AO42" s="141"/>
      <c r="AP42" s="141"/>
      <c r="AQ42" s="141"/>
      <c r="AR42" s="143">
        <f t="shared" si="65"/>
        <v>0</v>
      </c>
      <c r="AS42" s="144">
        <f t="shared" si="66"/>
        <v>0</v>
      </c>
      <c r="AT42" s="141"/>
      <c r="AU42" s="141"/>
      <c r="AV42" s="141"/>
      <c r="AW42" s="142">
        <f t="shared" si="67"/>
        <v>0</v>
      </c>
      <c r="AX42" s="145">
        <f t="shared" si="68"/>
        <v>0</v>
      </c>
      <c r="AY42" s="141"/>
      <c r="AZ42" s="141"/>
      <c r="BA42" s="141"/>
      <c r="BB42" s="143">
        <f t="shared" si="69"/>
        <v>0</v>
      </c>
      <c r="BC42" s="144">
        <f t="shared" ref="BC42:BC56" si="81">AW42</f>
        <v>0</v>
      </c>
      <c r="BD42" s="141"/>
      <c r="BE42" s="141"/>
      <c r="BF42" s="141"/>
      <c r="BG42" s="142">
        <f t="shared" si="70"/>
        <v>0</v>
      </c>
      <c r="BH42" s="145">
        <f t="shared" si="71"/>
        <v>0</v>
      </c>
      <c r="BI42" s="141"/>
      <c r="BJ42" s="141"/>
      <c r="BK42" s="141"/>
      <c r="BL42" s="143">
        <f t="shared" si="72"/>
        <v>0</v>
      </c>
      <c r="BM42" s="144">
        <f t="shared" si="73"/>
        <v>0</v>
      </c>
      <c r="BN42" s="141"/>
      <c r="BO42" s="141"/>
      <c r="BP42" s="141"/>
      <c r="BQ42" s="142">
        <f t="shared" si="74"/>
        <v>0</v>
      </c>
      <c r="BR42" s="145">
        <f t="shared" si="75"/>
        <v>0</v>
      </c>
      <c r="BS42" s="141"/>
      <c r="BT42" s="141"/>
      <c r="BU42" s="141"/>
      <c r="BV42" s="143">
        <f t="shared" si="76"/>
        <v>0</v>
      </c>
      <c r="BW42" s="144">
        <f t="shared" si="77"/>
        <v>0</v>
      </c>
      <c r="BX42" s="141"/>
      <c r="BY42" s="141"/>
      <c r="BZ42" s="141"/>
      <c r="CA42" s="141"/>
      <c r="CB42" s="141"/>
      <c r="CC42" s="141"/>
      <c r="CD42" s="142">
        <f t="shared" si="78"/>
        <v>0</v>
      </c>
      <c r="CE42" s="145">
        <f t="shared" si="79"/>
        <v>0</v>
      </c>
      <c r="CF42" s="141"/>
      <c r="CG42" s="141"/>
      <c r="CH42" s="141"/>
      <c r="CI42" s="143">
        <f t="shared" si="80"/>
        <v>0</v>
      </c>
      <c r="CJ42" s="140"/>
      <c r="CK42" s="141"/>
      <c r="CL42" s="145">
        <f t="shared" ref="CL42:CL61" si="82">CD42-CJ42</f>
        <v>0</v>
      </c>
      <c r="CM42" s="146">
        <f t="shared" ref="CM42:CM61" si="83">CI42-CK42</f>
        <v>0</v>
      </c>
      <c r="CN42" s="147"/>
      <c r="CO42" s="141"/>
      <c r="CP42" s="137">
        <f t="shared" si="32"/>
        <v>0</v>
      </c>
      <c r="CQ42" s="148"/>
      <c r="CR42" s="137">
        <f t="shared" si="33"/>
        <v>0</v>
      </c>
    </row>
    <row r="43" spans="1:96" ht="15" thickBot="1" x14ac:dyDescent="0.25">
      <c r="A43" s="1">
        <v>13</v>
      </c>
      <c r="C43" s="5" t="s">
        <v>67</v>
      </c>
      <c r="D43" s="8">
        <v>1508</v>
      </c>
      <c r="E43" s="140"/>
      <c r="F43" s="141"/>
      <c r="G43" s="141"/>
      <c r="H43" s="141"/>
      <c r="I43" s="142">
        <f t="shared" si="52"/>
        <v>0</v>
      </c>
      <c r="J43" s="141"/>
      <c r="K43" s="141"/>
      <c r="L43" s="141"/>
      <c r="M43" s="141"/>
      <c r="N43" s="143">
        <f t="shared" si="53"/>
        <v>0</v>
      </c>
      <c r="O43" s="144">
        <f t="shared" si="54"/>
        <v>0</v>
      </c>
      <c r="P43" s="141"/>
      <c r="Q43" s="141"/>
      <c r="R43" s="141"/>
      <c r="S43" s="142">
        <f t="shared" si="55"/>
        <v>0</v>
      </c>
      <c r="T43" s="145">
        <f t="shared" si="56"/>
        <v>0</v>
      </c>
      <c r="U43" s="141"/>
      <c r="V43" s="141"/>
      <c r="W43" s="141"/>
      <c r="X43" s="143">
        <f t="shared" si="57"/>
        <v>0</v>
      </c>
      <c r="Y43" s="144">
        <f t="shared" si="58"/>
        <v>0</v>
      </c>
      <c r="Z43" s="141"/>
      <c r="AA43" s="141"/>
      <c r="AB43" s="141"/>
      <c r="AC43" s="142">
        <f t="shared" si="59"/>
        <v>0</v>
      </c>
      <c r="AD43" s="145">
        <f t="shared" si="60"/>
        <v>0</v>
      </c>
      <c r="AE43" s="141"/>
      <c r="AF43" s="141"/>
      <c r="AG43" s="141"/>
      <c r="AH43" s="143">
        <f t="shared" si="61"/>
        <v>0</v>
      </c>
      <c r="AI43" s="144">
        <f t="shared" si="62"/>
        <v>0</v>
      </c>
      <c r="AJ43" s="141"/>
      <c r="AK43" s="141"/>
      <c r="AL43" s="141"/>
      <c r="AM43" s="142">
        <f t="shared" si="63"/>
        <v>0</v>
      </c>
      <c r="AN43" s="145">
        <f t="shared" si="64"/>
        <v>0</v>
      </c>
      <c r="AO43" s="141"/>
      <c r="AP43" s="141"/>
      <c r="AQ43" s="141"/>
      <c r="AR43" s="143">
        <f t="shared" si="65"/>
        <v>0</v>
      </c>
      <c r="AS43" s="144">
        <f t="shared" si="66"/>
        <v>0</v>
      </c>
      <c r="AT43" s="141"/>
      <c r="AU43" s="141"/>
      <c r="AV43" s="141"/>
      <c r="AW43" s="142">
        <f t="shared" si="67"/>
        <v>0</v>
      </c>
      <c r="AX43" s="145">
        <f t="shared" si="68"/>
        <v>0</v>
      </c>
      <c r="AY43" s="141"/>
      <c r="AZ43" s="141"/>
      <c r="BA43" s="141"/>
      <c r="BB43" s="143">
        <f t="shared" si="69"/>
        <v>0</v>
      </c>
      <c r="BC43" s="144">
        <f t="shared" si="81"/>
        <v>0</v>
      </c>
      <c r="BD43" s="141"/>
      <c r="BE43" s="141"/>
      <c r="BF43" s="141"/>
      <c r="BG43" s="142">
        <f t="shared" si="70"/>
        <v>0</v>
      </c>
      <c r="BH43" s="145">
        <f t="shared" si="71"/>
        <v>0</v>
      </c>
      <c r="BI43" s="141"/>
      <c r="BJ43" s="141"/>
      <c r="BK43" s="141"/>
      <c r="BL43" s="143">
        <f t="shared" si="72"/>
        <v>0</v>
      </c>
      <c r="BM43" s="144">
        <f t="shared" si="73"/>
        <v>0</v>
      </c>
      <c r="BN43" s="141"/>
      <c r="BO43" s="141"/>
      <c r="BP43" s="141"/>
      <c r="BQ43" s="142">
        <f t="shared" si="74"/>
        <v>0</v>
      </c>
      <c r="BR43" s="145">
        <f t="shared" si="75"/>
        <v>0</v>
      </c>
      <c r="BS43" s="141"/>
      <c r="BT43" s="141"/>
      <c r="BU43" s="141"/>
      <c r="BV43" s="143">
        <f t="shared" si="76"/>
        <v>0</v>
      </c>
      <c r="BW43" s="144">
        <f t="shared" si="77"/>
        <v>0</v>
      </c>
      <c r="BX43" s="141"/>
      <c r="BY43" s="141"/>
      <c r="BZ43" s="141"/>
      <c r="CA43" s="141"/>
      <c r="CB43" s="141"/>
      <c r="CC43" s="141"/>
      <c r="CD43" s="142">
        <f t="shared" si="78"/>
        <v>0</v>
      </c>
      <c r="CE43" s="145">
        <f t="shared" si="79"/>
        <v>0</v>
      </c>
      <c r="CF43" s="141"/>
      <c r="CG43" s="141"/>
      <c r="CH43" s="141"/>
      <c r="CI43" s="143">
        <f t="shared" si="80"/>
        <v>0</v>
      </c>
      <c r="CJ43" s="140"/>
      <c r="CK43" s="141"/>
      <c r="CL43" s="145">
        <f t="shared" si="82"/>
        <v>0</v>
      </c>
      <c r="CM43" s="146">
        <f t="shared" si="83"/>
        <v>0</v>
      </c>
      <c r="CN43" s="147"/>
      <c r="CO43" s="141"/>
      <c r="CP43" s="137">
        <f t="shared" si="32"/>
        <v>0</v>
      </c>
      <c r="CQ43" s="148"/>
      <c r="CR43" s="137">
        <f t="shared" si="33"/>
        <v>0</v>
      </c>
    </row>
    <row r="44" spans="1:96" ht="15" thickBot="1" x14ac:dyDescent="0.25">
      <c r="A44" s="1">
        <v>14</v>
      </c>
      <c r="C44" s="5" t="s">
        <v>68</v>
      </c>
      <c r="D44" s="8">
        <v>1508</v>
      </c>
      <c r="E44" s="151"/>
      <c r="F44" s="152"/>
      <c r="G44" s="152"/>
      <c r="H44" s="152"/>
      <c r="I44" s="142"/>
      <c r="J44" s="152"/>
      <c r="K44" s="152"/>
      <c r="L44" s="152"/>
      <c r="M44" s="152"/>
      <c r="N44" s="143"/>
      <c r="O44" s="144"/>
      <c r="P44" s="152"/>
      <c r="Q44" s="152"/>
      <c r="R44" s="152"/>
      <c r="S44" s="142"/>
      <c r="T44" s="145"/>
      <c r="U44" s="152"/>
      <c r="V44" s="152"/>
      <c r="W44" s="152"/>
      <c r="X44" s="143"/>
      <c r="Y44" s="144"/>
      <c r="Z44" s="152"/>
      <c r="AA44" s="152"/>
      <c r="AB44" s="152"/>
      <c r="AC44" s="142"/>
      <c r="AD44" s="145"/>
      <c r="AE44" s="152"/>
      <c r="AF44" s="152"/>
      <c r="AG44" s="152"/>
      <c r="AH44" s="143"/>
      <c r="AI44" s="144"/>
      <c r="AJ44" s="152"/>
      <c r="AK44" s="152"/>
      <c r="AL44" s="152"/>
      <c r="AM44" s="142"/>
      <c r="AN44" s="145"/>
      <c r="AO44" s="152"/>
      <c r="AP44" s="152"/>
      <c r="AQ44" s="152"/>
      <c r="AR44" s="143"/>
      <c r="AS44" s="144">
        <f t="shared" si="66"/>
        <v>0</v>
      </c>
      <c r="AT44" s="141">
        <v>5231.74</v>
      </c>
      <c r="AU44" s="141"/>
      <c r="AV44" s="141"/>
      <c r="AW44" s="142">
        <f>AS44+AT44-AU44+AV44</f>
        <v>5231.74</v>
      </c>
      <c r="AX44" s="145">
        <f>AR44</f>
        <v>0</v>
      </c>
      <c r="AY44" s="141">
        <v>7.86</v>
      </c>
      <c r="AZ44" s="141"/>
      <c r="BA44" s="141"/>
      <c r="BB44" s="143">
        <f>AX44+AY44-AZ44+BA44</f>
        <v>7.86</v>
      </c>
      <c r="BC44" s="144">
        <f>AW44</f>
        <v>5231.74</v>
      </c>
      <c r="BD44" s="141">
        <v>707.24</v>
      </c>
      <c r="BE44" s="141"/>
      <c r="BF44" s="141"/>
      <c r="BG44" s="142">
        <f t="shared" si="70"/>
        <v>5938.98</v>
      </c>
      <c r="BH44" s="145">
        <f t="shared" si="71"/>
        <v>7.86</v>
      </c>
      <c r="BI44" s="141">
        <v>46.8</v>
      </c>
      <c r="BJ44" s="141"/>
      <c r="BK44" s="141"/>
      <c r="BL44" s="143">
        <f>BH44+BI44-BJ44+BK44</f>
        <v>54.66</v>
      </c>
      <c r="BM44" s="144">
        <f t="shared" si="73"/>
        <v>5938.98</v>
      </c>
      <c r="BN44" s="141"/>
      <c r="BO44" s="141"/>
      <c r="BP44" s="141"/>
      <c r="BQ44" s="142">
        <f t="shared" si="74"/>
        <v>5938.98</v>
      </c>
      <c r="BR44" s="145">
        <f t="shared" si="75"/>
        <v>54.66</v>
      </c>
      <c r="BS44" s="141">
        <v>87.36</v>
      </c>
      <c r="BT44" s="141"/>
      <c r="BU44" s="141"/>
      <c r="BV44" s="143">
        <f t="shared" si="76"/>
        <v>142.01999999999998</v>
      </c>
      <c r="BW44" s="144">
        <f t="shared" si="77"/>
        <v>5938.98</v>
      </c>
      <c r="BX44" s="141"/>
      <c r="BY44" s="141"/>
      <c r="BZ44" s="141"/>
      <c r="CA44" s="141"/>
      <c r="CB44" s="141"/>
      <c r="CC44" s="141"/>
      <c r="CD44" s="142">
        <f t="shared" si="78"/>
        <v>5938.98</v>
      </c>
      <c r="CE44" s="145">
        <f t="shared" si="79"/>
        <v>142.01999999999998</v>
      </c>
      <c r="CF44" s="141">
        <v>87.36</v>
      </c>
      <c r="CG44" s="141"/>
      <c r="CH44" s="141"/>
      <c r="CI44" s="143">
        <f t="shared" si="80"/>
        <v>229.38</v>
      </c>
      <c r="CJ44" s="140"/>
      <c r="CK44" s="141"/>
      <c r="CL44" s="145">
        <f t="shared" si="82"/>
        <v>5938.98</v>
      </c>
      <c r="CM44" s="146">
        <f t="shared" si="83"/>
        <v>229.38</v>
      </c>
      <c r="CN44" s="147">
        <f t="shared" ref="CN44" si="84">ROUND(CL44*1.47%,2)</f>
        <v>87.3</v>
      </c>
      <c r="CO44" s="141">
        <f t="shared" ref="CO44" si="85">ROUND(CL44*1.47%*4/12,2)</f>
        <v>29.1</v>
      </c>
      <c r="CP44" s="137">
        <f t="shared" si="32"/>
        <v>6284.76</v>
      </c>
      <c r="CQ44" s="148">
        <v>6168.36</v>
      </c>
      <c r="CR44" s="137">
        <f t="shared" si="33"/>
        <v>0</v>
      </c>
    </row>
    <row r="45" spans="1:96" ht="31.5" thickBot="1" x14ac:dyDescent="0.25">
      <c r="A45" s="1">
        <v>15</v>
      </c>
      <c r="C45" s="33" t="s">
        <v>107</v>
      </c>
      <c r="D45" s="8">
        <v>1508</v>
      </c>
      <c r="E45" s="151"/>
      <c r="F45" s="152"/>
      <c r="G45" s="152"/>
      <c r="H45" s="152"/>
      <c r="I45" s="142"/>
      <c r="J45" s="152"/>
      <c r="K45" s="152"/>
      <c r="L45" s="152"/>
      <c r="M45" s="152"/>
      <c r="N45" s="143"/>
      <c r="O45" s="144"/>
      <c r="P45" s="152"/>
      <c r="Q45" s="152"/>
      <c r="R45" s="152"/>
      <c r="S45" s="142"/>
      <c r="T45" s="145"/>
      <c r="U45" s="152"/>
      <c r="V45" s="152"/>
      <c r="W45" s="152"/>
      <c r="X45" s="143"/>
      <c r="Y45" s="144"/>
      <c r="Z45" s="152"/>
      <c r="AA45" s="152"/>
      <c r="AB45" s="152"/>
      <c r="AC45" s="142"/>
      <c r="AD45" s="145"/>
      <c r="AE45" s="152"/>
      <c r="AF45" s="152"/>
      <c r="AG45" s="152"/>
      <c r="AH45" s="143"/>
      <c r="AI45" s="144"/>
      <c r="AJ45" s="152"/>
      <c r="AK45" s="152"/>
      <c r="AL45" s="152"/>
      <c r="AM45" s="142"/>
      <c r="AN45" s="145"/>
      <c r="AO45" s="152"/>
      <c r="AP45" s="152"/>
      <c r="AQ45" s="152"/>
      <c r="AR45" s="143"/>
      <c r="AS45" s="149"/>
      <c r="AT45" s="152"/>
      <c r="AU45" s="152"/>
      <c r="AV45" s="152"/>
      <c r="AW45" s="142"/>
      <c r="AX45" s="145"/>
      <c r="AY45" s="152"/>
      <c r="AZ45" s="152"/>
      <c r="BA45" s="152"/>
      <c r="BB45" s="143"/>
      <c r="BC45" s="144"/>
      <c r="BD45" s="152"/>
      <c r="BE45" s="152"/>
      <c r="BF45" s="152"/>
      <c r="BG45" s="142"/>
      <c r="BH45" s="145"/>
      <c r="BI45" s="152"/>
      <c r="BJ45" s="152"/>
      <c r="BK45" s="152"/>
      <c r="BL45" s="143"/>
      <c r="BM45" s="144">
        <f t="shared" si="73"/>
        <v>0</v>
      </c>
      <c r="BN45" s="141"/>
      <c r="BO45" s="141"/>
      <c r="BP45" s="141"/>
      <c r="BQ45" s="142">
        <f t="shared" si="74"/>
        <v>0</v>
      </c>
      <c r="BR45" s="145">
        <f t="shared" si="75"/>
        <v>0</v>
      </c>
      <c r="BS45" s="141"/>
      <c r="BT45" s="141"/>
      <c r="BU45" s="141"/>
      <c r="BV45" s="143">
        <f t="shared" si="76"/>
        <v>0</v>
      </c>
      <c r="BW45" s="144">
        <f t="shared" si="77"/>
        <v>0</v>
      </c>
      <c r="BX45" s="141"/>
      <c r="BY45" s="141"/>
      <c r="BZ45" s="141"/>
      <c r="CA45" s="141"/>
      <c r="CB45" s="141"/>
      <c r="CC45" s="141"/>
      <c r="CD45" s="142">
        <f>BW45+BX45-BY45+SUM(BZ45:CC45)</f>
        <v>0</v>
      </c>
      <c r="CE45" s="145">
        <f>BV45</f>
        <v>0</v>
      </c>
      <c r="CF45" s="141"/>
      <c r="CG45" s="141"/>
      <c r="CH45" s="141"/>
      <c r="CI45" s="143">
        <f t="shared" si="80"/>
        <v>0</v>
      </c>
      <c r="CJ45" s="140"/>
      <c r="CK45" s="141"/>
      <c r="CL45" s="145">
        <f t="shared" si="82"/>
        <v>0</v>
      </c>
      <c r="CM45" s="146">
        <f t="shared" si="83"/>
        <v>0</v>
      </c>
      <c r="CN45" s="147"/>
      <c r="CO45" s="141"/>
      <c r="CP45" s="137">
        <f t="shared" si="32"/>
        <v>0</v>
      </c>
      <c r="CQ45" s="148"/>
      <c r="CR45" s="137">
        <f t="shared" si="33"/>
        <v>0</v>
      </c>
    </row>
    <row r="46" spans="1:96" ht="29.25" thickBot="1" x14ac:dyDescent="0.25">
      <c r="A46" s="1">
        <v>16</v>
      </c>
      <c r="C46" s="33" t="s">
        <v>86</v>
      </c>
      <c r="D46" s="8">
        <v>1508</v>
      </c>
      <c r="E46" s="151"/>
      <c r="F46" s="152"/>
      <c r="G46" s="152"/>
      <c r="H46" s="152"/>
      <c r="I46" s="142"/>
      <c r="J46" s="152"/>
      <c r="K46" s="152"/>
      <c r="L46" s="152"/>
      <c r="M46" s="152"/>
      <c r="N46" s="143"/>
      <c r="O46" s="144"/>
      <c r="P46" s="152"/>
      <c r="Q46" s="152"/>
      <c r="R46" s="152"/>
      <c r="S46" s="142"/>
      <c r="T46" s="145"/>
      <c r="U46" s="152"/>
      <c r="V46" s="152"/>
      <c r="W46" s="152"/>
      <c r="X46" s="143"/>
      <c r="Y46" s="144"/>
      <c r="Z46" s="152"/>
      <c r="AA46" s="152"/>
      <c r="AB46" s="152"/>
      <c r="AC46" s="142"/>
      <c r="AD46" s="145"/>
      <c r="AE46" s="152"/>
      <c r="AF46" s="152"/>
      <c r="AG46" s="152"/>
      <c r="AH46" s="143"/>
      <c r="AI46" s="144"/>
      <c r="AJ46" s="152"/>
      <c r="AK46" s="152"/>
      <c r="AL46" s="152"/>
      <c r="AM46" s="142"/>
      <c r="AN46" s="145"/>
      <c r="AO46" s="152"/>
      <c r="AP46" s="152"/>
      <c r="AQ46" s="152"/>
      <c r="AR46" s="143"/>
      <c r="AS46" s="149"/>
      <c r="AT46" s="152"/>
      <c r="AU46" s="152"/>
      <c r="AV46" s="152"/>
      <c r="AW46" s="142"/>
      <c r="AX46" s="145"/>
      <c r="AY46" s="152"/>
      <c r="AZ46" s="152"/>
      <c r="BA46" s="152"/>
      <c r="BB46" s="143"/>
      <c r="BC46" s="144"/>
      <c r="BD46" s="152"/>
      <c r="BE46" s="152"/>
      <c r="BF46" s="152"/>
      <c r="BG46" s="142"/>
      <c r="BH46" s="145"/>
      <c r="BI46" s="152"/>
      <c r="BJ46" s="152"/>
      <c r="BK46" s="152"/>
      <c r="BL46" s="143"/>
      <c r="BM46" s="144">
        <f t="shared" si="73"/>
        <v>0</v>
      </c>
      <c r="BN46" s="141"/>
      <c r="BO46" s="141"/>
      <c r="BP46" s="141"/>
      <c r="BQ46" s="142">
        <f t="shared" si="74"/>
        <v>0</v>
      </c>
      <c r="BR46" s="145">
        <f t="shared" si="75"/>
        <v>0</v>
      </c>
      <c r="BS46" s="141"/>
      <c r="BT46" s="141"/>
      <c r="BU46" s="141"/>
      <c r="BV46" s="143">
        <f t="shared" si="76"/>
        <v>0</v>
      </c>
      <c r="BW46" s="144">
        <f t="shared" si="77"/>
        <v>0</v>
      </c>
      <c r="BX46" s="141"/>
      <c r="BY46" s="141"/>
      <c r="BZ46" s="141"/>
      <c r="CA46" s="141"/>
      <c r="CB46" s="141"/>
      <c r="CC46" s="141"/>
      <c r="CD46" s="142">
        <f>BW46+BX46-BY46+SUM(BZ46:CC46)</f>
        <v>0</v>
      </c>
      <c r="CE46" s="145">
        <f>BV46</f>
        <v>0</v>
      </c>
      <c r="CF46" s="141"/>
      <c r="CG46" s="141"/>
      <c r="CH46" s="141"/>
      <c r="CI46" s="143">
        <f t="shared" si="80"/>
        <v>0</v>
      </c>
      <c r="CJ46" s="140"/>
      <c r="CK46" s="141"/>
      <c r="CL46" s="145">
        <f t="shared" si="82"/>
        <v>0</v>
      </c>
      <c r="CM46" s="146">
        <f t="shared" si="83"/>
        <v>0</v>
      </c>
      <c r="CN46" s="147"/>
      <c r="CO46" s="141"/>
      <c r="CP46" s="137">
        <f t="shared" si="32"/>
        <v>0</v>
      </c>
      <c r="CQ46" s="148"/>
      <c r="CR46" s="137">
        <f t="shared" si="33"/>
        <v>0</v>
      </c>
    </row>
    <row r="47" spans="1:96" ht="17.25" thickBot="1" x14ac:dyDescent="0.25">
      <c r="A47" s="1">
        <v>17</v>
      </c>
      <c r="C47" s="5" t="s">
        <v>105</v>
      </c>
      <c r="D47" s="8">
        <v>1508</v>
      </c>
      <c r="E47" s="140"/>
      <c r="F47" s="141"/>
      <c r="G47" s="141"/>
      <c r="H47" s="141"/>
      <c r="I47" s="142">
        <f t="shared" si="52"/>
        <v>0</v>
      </c>
      <c r="J47" s="141"/>
      <c r="K47" s="141"/>
      <c r="L47" s="141"/>
      <c r="M47" s="141"/>
      <c r="N47" s="143">
        <f t="shared" si="53"/>
        <v>0</v>
      </c>
      <c r="O47" s="144">
        <f t="shared" si="54"/>
        <v>0</v>
      </c>
      <c r="P47" s="141"/>
      <c r="Q47" s="141"/>
      <c r="R47" s="141"/>
      <c r="S47" s="142">
        <f t="shared" si="55"/>
        <v>0</v>
      </c>
      <c r="T47" s="145">
        <f t="shared" si="56"/>
        <v>0</v>
      </c>
      <c r="U47" s="141"/>
      <c r="V47" s="141"/>
      <c r="W47" s="141"/>
      <c r="X47" s="143">
        <f t="shared" si="57"/>
        <v>0</v>
      </c>
      <c r="Y47" s="144">
        <f t="shared" si="58"/>
        <v>0</v>
      </c>
      <c r="Z47" s="141"/>
      <c r="AA47" s="141"/>
      <c r="AB47" s="141"/>
      <c r="AC47" s="142">
        <f t="shared" si="59"/>
        <v>0</v>
      </c>
      <c r="AD47" s="145">
        <f t="shared" si="60"/>
        <v>0</v>
      </c>
      <c r="AE47" s="141"/>
      <c r="AF47" s="141"/>
      <c r="AG47" s="141"/>
      <c r="AH47" s="143">
        <f t="shared" si="61"/>
        <v>0</v>
      </c>
      <c r="AI47" s="144">
        <f t="shared" si="62"/>
        <v>0</v>
      </c>
      <c r="AJ47" s="141"/>
      <c r="AK47" s="141"/>
      <c r="AL47" s="141"/>
      <c r="AM47" s="142">
        <f t="shared" si="63"/>
        <v>0</v>
      </c>
      <c r="AN47" s="145">
        <f t="shared" si="64"/>
        <v>0</v>
      </c>
      <c r="AO47" s="141"/>
      <c r="AP47" s="141"/>
      <c r="AQ47" s="141"/>
      <c r="AR47" s="143">
        <f t="shared" si="65"/>
        <v>0</v>
      </c>
      <c r="AS47" s="144">
        <f t="shared" si="66"/>
        <v>0</v>
      </c>
      <c r="AT47" s="141"/>
      <c r="AU47" s="141"/>
      <c r="AV47" s="141"/>
      <c r="AW47" s="142">
        <f t="shared" si="67"/>
        <v>0</v>
      </c>
      <c r="AX47" s="145">
        <f t="shared" si="68"/>
        <v>0</v>
      </c>
      <c r="AY47" s="141"/>
      <c r="AZ47" s="141"/>
      <c r="BA47" s="141"/>
      <c r="BB47" s="143">
        <f t="shared" si="69"/>
        <v>0</v>
      </c>
      <c r="BC47" s="144">
        <f t="shared" si="81"/>
        <v>0</v>
      </c>
      <c r="BD47" s="141"/>
      <c r="BE47" s="141"/>
      <c r="BF47" s="141"/>
      <c r="BG47" s="142">
        <f t="shared" si="70"/>
        <v>0</v>
      </c>
      <c r="BH47" s="145">
        <f t="shared" si="71"/>
        <v>0</v>
      </c>
      <c r="BI47" s="141"/>
      <c r="BJ47" s="141"/>
      <c r="BK47" s="141"/>
      <c r="BL47" s="143">
        <f t="shared" si="72"/>
        <v>0</v>
      </c>
      <c r="BM47" s="144">
        <f t="shared" ref="BM47:BM57" si="86">BG47</f>
        <v>0</v>
      </c>
      <c r="BN47" s="141"/>
      <c r="BO47" s="141"/>
      <c r="BP47" s="141"/>
      <c r="BQ47" s="142">
        <f t="shared" si="74"/>
        <v>0</v>
      </c>
      <c r="BR47" s="145">
        <f t="shared" si="75"/>
        <v>0</v>
      </c>
      <c r="BS47" s="141"/>
      <c r="BT47" s="141"/>
      <c r="BU47" s="141"/>
      <c r="BV47" s="143">
        <f t="shared" ref="BV47:BV56" si="87">BR47+BS47-BT47+BU47</f>
        <v>0</v>
      </c>
      <c r="BW47" s="144">
        <f t="shared" si="77"/>
        <v>0</v>
      </c>
      <c r="BX47" s="141"/>
      <c r="BY47" s="141"/>
      <c r="BZ47" s="141"/>
      <c r="CA47" s="141"/>
      <c r="CB47" s="141"/>
      <c r="CC47" s="141"/>
      <c r="CD47" s="142">
        <f t="shared" ref="CD47:CD56" si="88">BW47+BX47-BY47+SUM(BZ47:CC47)</f>
        <v>0</v>
      </c>
      <c r="CE47" s="145">
        <f t="shared" ref="CE47:CE56" si="89">BV47</f>
        <v>0</v>
      </c>
      <c r="CF47" s="141"/>
      <c r="CG47" s="141"/>
      <c r="CH47" s="141"/>
      <c r="CI47" s="143">
        <f t="shared" si="80"/>
        <v>0</v>
      </c>
      <c r="CJ47" s="140"/>
      <c r="CK47" s="141"/>
      <c r="CL47" s="145">
        <f t="shared" si="82"/>
        <v>0</v>
      </c>
      <c r="CM47" s="146">
        <f t="shared" si="83"/>
        <v>0</v>
      </c>
      <c r="CN47" s="147"/>
      <c r="CO47" s="141"/>
      <c r="CP47" s="137">
        <f t="shared" si="32"/>
        <v>0</v>
      </c>
      <c r="CQ47" s="148"/>
      <c r="CR47" s="137">
        <f t="shared" si="33"/>
        <v>0</v>
      </c>
    </row>
    <row r="48" spans="1:96" ht="15" thickBot="1" x14ac:dyDescent="0.25">
      <c r="A48" s="1">
        <v>18</v>
      </c>
      <c r="C48" s="5" t="s">
        <v>4</v>
      </c>
      <c r="D48" s="8">
        <v>1518</v>
      </c>
      <c r="E48" s="140"/>
      <c r="F48" s="141"/>
      <c r="G48" s="141"/>
      <c r="H48" s="141"/>
      <c r="I48" s="142">
        <f t="shared" si="52"/>
        <v>0</v>
      </c>
      <c r="J48" s="141"/>
      <c r="K48" s="141"/>
      <c r="L48" s="141"/>
      <c r="M48" s="141"/>
      <c r="N48" s="143">
        <f t="shared" si="53"/>
        <v>0</v>
      </c>
      <c r="O48" s="144">
        <f t="shared" si="54"/>
        <v>0</v>
      </c>
      <c r="P48" s="141"/>
      <c r="Q48" s="141"/>
      <c r="R48" s="141"/>
      <c r="S48" s="142">
        <f t="shared" si="55"/>
        <v>0</v>
      </c>
      <c r="T48" s="145">
        <f t="shared" si="56"/>
        <v>0</v>
      </c>
      <c r="U48" s="141"/>
      <c r="V48" s="141"/>
      <c r="W48" s="141"/>
      <c r="X48" s="143">
        <f t="shared" si="57"/>
        <v>0</v>
      </c>
      <c r="Y48" s="144">
        <f t="shared" si="58"/>
        <v>0</v>
      </c>
      <c r="Z48" s="141"/>
      <c r="AA48" s="141"/>
      <c r="AB48" s="141"/>
      <c r="AC48" s="142">
        <f t="shared" si="59"/>
        <v>0</v>
      </c>
      <c r="AD48" s="145">
        <f t="shared" si="60"/>
        <v>0</v>
      </c>
      <c r="AE48" s="141"/>
      <c r="AF48" s="141"/>
      <c r="AG48" s="141"/>
      <c r="AH48" s="143">
        <f t="shared" si="61"/>
        <v>0</v>
      </c>
      <c r="AI48" s="144">
        <f t="shared" si="62"/>
        <v>0</v>
      </c>
      <c r="AJ48" s="141"/>
      <c r="AK48" s="141"/>
      <c r="AL48" s="141">
        <v>313278.71000000002</v>
      </c>
      <c r="AM48" s="142">
        <f t="shared" si="63"/>
        <v>313278.71000000002</v>
      </c>
      <c r="AN48" s="145">
        <f t="shared" si="64"/>
        <v>0</v>
      </c>
      <c r="AO48" s="141"/>
      <c r="AP48" s="141"/>
      <c r="AQ48" s="141">
        <v>34474.230000000003</v>
      </c>
      <c r="AR48" s="143">
        <f t="shared" si="65"/>
        <v>34474.230000000003</v>
      </c>
      <c r="AS48" s="144">
        <f t="shared" si="66"/>
        <v>313278.71000000002</v>
      </c>
      <c r="AT48" s="141">
        <v>80543.429999999993</v>
      </c>
      <c r="AU48" s="141"/>
      <c r="AV48" s="141"/>
      <c r="AW48" s="142">
        <f t="shared" si="67"/>
        <v>393822.14</v>
      </c>
      <c r="AX48" s="145">
        <f t="shared" si="68"/>
        <v>34474.230000000003</v>
      </c>
      <c r="AY48" s="141">
        <v>3822.19</v>
      </c>
      <c r="AZ48" s="141"/>
      <c r="BA48" s="141"/>
      <c r="BB48" s="143">
        <f t="shared" si="69"/>
        <v>38296.420000000006</v>
      </c>
      <c r="BC48" s="144">
        <f t="shared" si="81"/>
        <v>393822.14</v>
      </c>
      <c r="BD48" s="141">
        <v>77554.98</v>
      </c>
      <c r="BE48" s="141">
        <v>313278.71000000002</v>
      </c>
      <c r="BF48" s="141"/>
      <c r="BG48" s="142">
        <f t="shared" si="70"/>
        <v>158098.40999999997</v>
      </c>
      <c r="BH48" s="145">
        <f t="shared" si="71"/>
        <v>38296.420000000006</v>
      </c>
      <c r="BI48" s="141">
        <v>1556.29</v>
      </c>
      <c r="BJ48" s="141">
        <v>38612</v>
      </c>
      <c r="BK48" s="141"/>
      <c r="BL48" s="143">
        <f t="shared" si="72"/>
        <v>1240.7100000000064</v>
      </c>
      <c r="BM48" s="144">
        <f t="shared" si="86"/>
        <v>158098.40999999997</v>
      </c>
      <c r="BN48" s="141">
        <v>78678.55</v>
      </c>
      <c r="BO48" s="141"/>
      <c r="BP48" s="141"/>
      <c r="BQ48" s="142">
        <f t="shared" si="74"/>
        <v>236776.95999999996</v>
      </c>
      <c r="BR48" s="145">
        <f t="shared" si="75"/>
        <v>1240.7100000000064</v>
      </c>
      <c r="BS48" s="141">
        <v>2861.07</v>
      </c>
      <c r="BT48" s="141"/>
      <c r="BU48" s="141"/>
      <c r="BV48" s="143">
        <f t="shared" si="87"/>
        <v>4101.7800000000061</v>
      </c>
      <c r="BW48" s="144">
        <f t="shared" si="77"/>
        <v>236776.95999999996</v>
      </c>
      <c r="BX48" s="141">
        <v>80240.87</v>
      </c>
      <c r="BY48" s="141"/>
      <c r="BZ48" s="141"/>
      <c r="CA48" s="141"/>
      <c r="CB48" s="141"/>
      <c r="CC48" s="141"/>
      <c r="CD48" s="142">
        <f t="shared" si="88"/>
        <v>317017.82999999996</v>
      </c>
      <c r="CE48" s="145">
        <f t="shared" si="89"/>
        <v>4101.7800000000061</v>
      </c>
      <c r="CF48" s="141">
        <v>4031.67</v>
      </c>
      <c r="CG48" s="141"/>
      <c r="CH48" s="141"/>
      <c r="CI48" s="143">
        <f t="shared" si="80"/>
        <v>8133.4500000000062</v>
      </c>
      <c r="CJ48" s="140"/>
      <c r="CK48" s="141"/>
      <c r="CL48" s="145">
        <f t="shared" si="82"/>
        <v>317017.82999999996</v>
      </c>
      <c r="CM48" s="146">
        <f t="shared" si="83"/>
        <v>8133.4500000000062</v>
      </c>
      <c r="CN48" s="147">
        <f t="shared" ref="CN48" si="90">ROUND(CL48*1.47%,2)</f>
        <v>4660.16</v>
      </c>
      <c r="CO48" s="141">
        <f t="shared" ref="CO48" si="91">ROUND(CL48*1.47%*4/12,2)</f>
        <v>1553.39</v>
      </c>
      <c r="CP48" s="137">
        <f t="shared" si="32"/>
        <v>331364.82999999996</v>
      </c>
      <c r="CQ48" s="148">
        <v>325151.28000000003</v>
      </c>
      <c r="CR48" s="137">
        <f t="shared" si="33"/>
        <v>0</v>
      </c>
    </row>
    <row r="49" spans="1:96" ht="15" thickBot="1" x14ac:dyDescent="0.25">
      <c r="A49" s="1">
        <v>19</v>
      </c>
      <c r="C49" s="5" t="s">
        <v>17</v>
      </c>
      <c r="D49" s="8">
        <v>1525</v>
      </c>
      <c r="E49" s="153"/>
      <c r="F49" s="154"/>
      <c r="G49" s="154"/>
      <c r="H49" s="154"/>
      <c r="I49" s="142">
        <f t="shared" si="52"/>
        <v>0</v>
      </c>
      <c r="J49" s="154"/>
      <c r="K49" s="154"/>
      <c r="L49" s="154"/>
      <c r="M49" s="154"/>
      <c r="N49" s="143">
        <f t="shared" si="53"/>
        <v>0</v>
      </c>
      <c r="O49" s="144">
        <f t="shared" si="54"/>
        <v>0</v>
      </c>
      <c r="P49" s="154"/>
      <c r="Q49" s="154"/>
      <c r="R49" s="154"/>
      <c r="S49" s="142">
        <f t="shared" si="55"/>
        <v>0</v>
      </c>
      <c r="T49" s="145">
        <f t="shared" si="56"/>
        <v>0</v>
      </c>
      <c r="U49" s="154"/>
      <c r="V49" s="154"/>
      <c r="W49" s="154"/>
      <c r="X49" s="143">
        <f t="shared" si="57"/>
        <v>0</v>
      </c>
      <c r="Y49" s="144">
        <f t="shared" si="58"/>
        <v>0</v>
      </c>
      <c r="Z49" s="154"/>
      <c r="AA49" s="154"/>
      <c r="AB49" s="154"/>
      <c r="AC49" s="142">
        <f t="shared" si="59"/>
        <v>0</v>
      </c>
      <c r="AD49" s="145">
        <f t="shared" si="60"/>
        <v>0</v>
      </c>
      <c r="AE49" s="154"/>
      <c r="AF49" s="154"/>
      <c r="AG49" s="154"/>
      <c r="AH49" s="143">
        <f t="shared" si="61"/>
        <v>0</v>
      </c>
      <c r="AI49" s="144">
        <f t="shared" si="62"/>
        <v>0</v>
      </c>
      <c r="AJ49" s="154"/>
      <c r="AK49" s="154"/>
      <c r="AL49" s="154"/>
      <c r="AM49" s="142">
        <f t="shared" si="63"/>
        <v>0</v>
      </c>
      <c r="AN49" s="145">
        <f t="shared" si="64"/>
        <v>0</v>
      </c>
      <c r="AO49" s="154"/>
      <c r="AP49" s="154"/>
      <c r="AQ49" s="154"/>
      <c r="AR49" s="143">
        <f t="shared" si="65"/>
        <v>0</v>
      </c>
      <c r="AS49" s="144">
        <f t="shared" si="66"/>
        <v>0</v>
      </c>
      <c r="AT49" s="154"/>
      <c r="AU49" s="154"/>
      <c r="AV49" s="154"/>
      <c r="AW49" s="142">
        <f t="shared" si="67"/>
        <v>0</v>
      </c>
      <c r="AX49" s="145">
        <f t="shared" si="68"/>
        <v>0</v>
      </c>
      <c r="AY49" s="154"/>
      <c r="AZ49" s="154"/>
      <c r="BA49" s="154"/>
      <c r="BB49" s="143">
        <f t="shared" si="69"/>
        <v>0</v>
      </c>
      <c r="BC49" s="144">
        <f t="shared" si="81"/>
        <v>0</v>
      </c>
      <c r="BD49" s="141"/>
      <c r="BE49" s="141"/>
      <c r="BF49" s="141"/>
      <c r="BG49" s="142">
        <f t="shared" si="70"/>
        <v>0</v>
      </c>
      <c r="BH49" s="145">
        <f t="shared" si="71"/>
        <v>0</v>
      </c>
      <c r="BI49" s="141"/>
      <c r="BJ49" s="154"/>
      <c r="BK49" s="154"/>
      <c r="BL49" s="143">
        <f t="shared" si="72"/>
        <v>0</v>
      </c>
      <c r="BM49" s="144">
        <f t="shared" si="86"/>
        <v>0</v>
      </c>
      <c r="BN49" s="141"/>
      <c r="BO49" s="141"/>
      <c r="BP49" s="141"/>
      <c r="BQ49" s="142">
        <f t="shared" si="74"/>
        <v>0</v>
      </c>
      <c r="BR49" s="145">
        <f t="shared" si="75"/>
        <v>0</v>
      </c>
      <c r="BS49" s="141"/>
      <c r="BT49" s="154"/>
      <c r="BU49" s="154"/>
      <c r="BV49" s="143">
        <f t="shared" si="87"/>
        <v>0</v>
      </c>
      <c r="BW49" s="144">
        <f t="shared" si="77"/>
        <v>0</v>
      </c>
      <c r="BX49" s="141"/>
      <c r="BY49" s="141"/>
      <c r="BZ49" s="141"/>
      <c r="CA49" s="141"/>
      <c r="CB49" s="141"/>
      <c r="CC49" s="141"/>
      <c r="CD49" s="142">
        <f t="shared" si="88"/>
        <v>0</v>
      </c>
      <c r="CE49" s="145">
        <f t="shared" si="89"/>
        <v>0</v>
      </c>
      <c r="CF49" s="141"/>
      <c r="CG49" s="154"/>
      <c r="CH49" s="154"/>
      <c r="CI49" s="143">
        <f t="shared" si="80"/>
        <v>0</v>
      </c>
      <c r="CJ49" s="140"/>
      <c r="CK49" s="141"/>
      <c r="CL49" s="145">
        <f t="shared" si="82"/>
        <v>0</v>
      </c>
      <c r="CM49" s="146">
        <f t="shared" si="83"/>
        <v>0</v>
      </c>
      <c r="CN49" s="147"/>
      <c r="CO49" s="141"/>
      <c r="CP49" s="137">
        <f t="shared" si="32"/>
        <v>0</v>
      </c>
      <c r="CQ49" s="148"/>
      <c r="CR49" s="137">
        <f t="shared" si="33"/>
        <v>0</v>
      </c>
    </row>
    <row r="50" spans="1:96" ht="15" thickBot="1" x14ac:dyDescent="0.25">
      <c r="A50" s="1">
        <v>20</v>
      </c>
      <c r="C50" s="5" t="s">
        <v>64</v>
      </c>
      <c r="D50" s="8">
        <v>1531</v>
      </c>
      <c r="E50" s="151"/>
      <c r="F50" s="152"/>
      <c r="G50" s="152"/>
      <c r="H50" s="152"/>
      <c r="I50" s="142"/>
      <c r="J50" s="152"/>
      <c r="K50" s="152"/>
      <c r="L50" s="152"/>
      <c r="M50" s="152"/>
      <c r="N50" s="143"/>
      <c r="O50" s="144"/>
      <c r="P50" s="152"/>
      <c r="Q50" s="152"/>
      <c r="R50" s="152"/>
      <c r="S50" s="142"/>
      <c r="T50" s="145"/>
      <c r="U50" s="152"/>
      <c r="V50" s="152"/>
      <c r="W50" s="152"/>
      <c r="X50" s="143"/>
      <c r="Y50" s="144"/>
      <c r="Z50" s="152"/>
      <c r="AA50" s="152"/>
      <c r="AB50" s="152"/>
      <c r="AC50" s="142"/>
      <c r="AD50" s="152"/>
      <c r="AE50" s="152"/>
      <c r="AF50" s="152"/>
      <c r="AG50" s="152"/>
      <c r="AH50" s="143"/>
      <c r="AI50" s="144"/>
      <c r="AJ50" s="152"/>
      <c r="AK50" s="152"/>
      <c r="AL50" s="152"/>
      <c r="AM50" s="142"/>
      <c r="AN50" s="152"/>
      <c r="AO50" s="152"/>
      <c r="AP50" s="152"/>
      <c r="AQ50" s="152"/>
      <c r="AR50" s="143"/>
      <c r="AS50" s="155"/>
      <c r="AT50" s="154"/>
      <c r="AU50" s="154"/>
      <c r="AV50" s="154"/>
      <c r="AW50" s="142">
        <f t="shared" si="67"/>
        <v>0</v>
      </c>
      <c r="AX50" s="145">
        <f t="shared" si="68"/>
        <v>0</v>
      </c>
      <c r="AY50" s="154"/>
      <c r="AZ50" s="154"/>
      <c r="BA50" s="154"/>
      <c r="BB50" s="143">
        <f t="shared" si="69"/>
        <v>0</v>
      </c>
      <c r="BC50" s="144">
        <f t="shared" si="81"/>
        <v>0</v>
      </c>
      <c r="BD50" s="141"/>
      <c r="BE50" s="141"/>
      <c r="BF50" s="141"/>
      <c r="BG50" s="142">
        <f t="shared" si="70"/>
        <v>0</v>
      </c>
      <c r="BH50" s="145">
        <f t="shared" si="71"/>
        <v>0</v>
      </c>
      <c r="BI50" s="141"/>
      <c r="BJ50" s="141"/>
      <c r="BK50" s="141"/>
      <c r="BL50" s="143">
        <f t="shared" si="72"/>
        <v>0</v>
      </c>
      <c r="BM50" s="144">
        <f t="shared" si="86"/>
        <v>0</v>
      </c>
      <c r="BN50" s="141"/>
      <c r="BO50" s="141"/>
      <c r="BP50" s="141"/>
      <c r="BQ50" s="142">
        <f t="shared" si="74"/>
        <v>0</v>
      </c>
      <c r="BR50" s="145">
        <f t="shared" si="75"/>
        <v>0</v>
      </c>
      <c r="BS50" s="141"/>
      <c r="BT50" s="141"/>
      <c r="BU50" s="154"/>
      <c r="BV50" s="143">
        <f t="shared" si="87"/>
        <v>0</v>
      </c>
      <c r="BW50" s="144">
        <f t="shared" si="77"/>
        <v>0</v>
      </c>
      <c r="BX50" s="141"/>
      <c r="BY50" s="141"/>
      <c r="BZ50" s="141"/>
      <c r="CA50" s="141"/>
      <c r="CB50" s="141"/>
      <c r="CC50" s="141"/>
      <c r="CD50" s="142">
        <f t="shared" si="88"/>
        <v>0</v>
      </c>
      <c r="CE50" s="145">
        <f t="shared" si="89"/>
        <v>0</v>
      </c>
      <c r="CF50" s="141"/>
      <c r="CG50" s="141"/>
      <c r="CH50" s="154"/>
      <c r="CI50" s="143">
        <f t="shared" si="80"/>
        <v>0</v>
      </c>
      <c r="CJ50" s="141"/>
      <c r="CK50" s="141"/>
      <c r="CL50" s="145">
        <f t="shared" si="82"/>
        <v>0</v>
      </c>
      <c r="CM50" s="146">
        <f t="shared" si="83"/>
        <v>0</v>
      </c>
      <c r="CN50" s="147"/>
      <c r="CO50" s="141"/>
      <c r="CP50" s="137">
        <f t="shared" si="32"/>
        <v>0</v>
      </c>
      <c r="CQ50" s="148"/>
      <c r="CR50" s="137">
        <f t="shared" si="33"/>
        <v>0</v>
      </c>
    </row>
    <row r="51" spans="1:96" ht="15" thickBot="1" x14ac:dyDescent="0.25">
      <c r="A51" s="1">
        <v>21</v>
      </c>
      <c r="C51" s="5" t="s">
        <v>65</v>
      </c>
      <c r="D51" s="8">
        <v>1532</v>
      </c>
      <c r="E51" s="151"/>
      <c r="F51" s="152"/>
      <c r="G51" s="152"/>
      <c r="H51" s="152"/>
      <c r="I51" s="142"/>
      <c r="J51" s="152"/>
      <c r="K51" s="152"/>
      <c r="L51" s="152"/>
      <c r="M51" s="152"/>
      <c r="N51" s="143"/>
      <c r="O51" s="144"/>
      <c r="P51" s="152"/>
      <c r="Q51" s="152"/>
      <c r="R51" s="152"/>
      <c r="S51" s="142"/>
      <c r="T51" s="145"/>
      <c r="U51" s="152"/>
      <c r="V51" s="152"/>
      <c r="W51" s="152"/>
      <c r="X51" s="143"/>
      <c r="Y51" s="144"/>
      <c r="Z51" s="152"/>
      <c r="AA51" s="152"/>
      <c r="AB51" s="152"/>
      <c r="AC51" s="142"/>
      <c r="AD51" s="152"/>
      <c r="AE51" s="152"/>
      <c r="AF51" s="152"/>
      <c r="AG51" s="152"/>
      <c r="AH51" s="143"/>
      <c r="AI51" s="144"/>
      <c r="AJ51" s="152"/>
      <c r="AK51" s="152"/>
      <c r="AL51" s="152"/>
      <c r="AM51" s="142"/>
      <c r="AN51" s="152"/>
      <c r="AO51" s="152"/>
      <c r="AP51" s="152"/>
      <c r="AQ51" s="152"/>
      <c r="AR51" s="143"/>
      <c r="AS51" s="155"/>
      <c r="AT51" s="154"/>
      <c r="AU51" s="154"/>
      <c r="AV51" s="154"/>
      <c r="AW51" s="142">
        <f t="shared" si="67"/>
        <v>0</v>
      </c>
      <c r="AX51" s="145">
        <f t="shared" si="68"/>
        <v>0</v>
      </c>
      <c r="AY51" s="154"/>
      <c r="AZ51" s="154"/>
      <c r="BA51" s="154"/>
      <c r="BB51" s="143">
        <f t="shared" si="69"/>
        <v>0</v>
      </c>
      <c r="BC51" s="144">
        <f t="shared" si="81"/>
        <v>0</v>
      </c>
      <c r="BD51" s="141"/>
      <c r="BE51" s="141"/>
      <c r="BF51" s="141"/>
      <c r="BG51" s="142">
        <f t="shared" si="70"/>
        <v>0</v>
      </c>
      <c r="BH51" s="145">
        <f t="shared" si="71"/>
        <v>0</v>
      </c>
      <c r="BI51" s="141"/>
      <c r="BJ51" s="141"/>
      <c r="BK51" s="141"/>
      <c r="BL51" s="143">
        <f t="shared" si="72"/>
        <v>0</v>
      </c>
      <c r="BM51" s="144">
        <f t="shared" si="86"/>
        <v>0</v>
      </c>
      <c r="BN51" s="141"/>
      <c r="BO51" s="141"/>
      <c r="BP51" s="141"/>
      <c r="BQ51" s="142">
        <f t="shared" si="74"/>
        <v>0</v>
      </c>
      <c r="BR51" s="145">
        <f t="shared" si="75"/>
        <v>0</v>
      </c>
      <c r="BS51" s="141"/>
      <c r="BT51" s="141"/>
      <c r="BU51" s="154"/>
      <c r="BV51" s="143">
        <f t="shared" si="87"/>
        <v>0</v>
      </c>
      <c r="BW51" s="144">
        <f t="shared" si="77"/>
        <v>0</v>
      </c>
      <c r="BX51" s="141"/>
      <c r="BY51" s="141"/>
      <c r="BZ51" s="141"/>
      <c r="CA51" s="141"/>
      <c r="CB51" s="141"/>
      <c r="CC51" s="141"/>
      <c r="CD51" s="142">
        <f t="shared" si="88"/>
        <v>0</v>
      </c>
      <c r="CE51" s="145">
        <f t="shared" si="89"/>
        <v>0</v>
      </c>
      <c r="CF51" s="141"/>
      <c r="CG51" s="141"/>
      <c r="CH51" s="154"/>
      <c r="CI51" s="143">
        <f t="shared" si="80"/>
        <v>0</v>
      </c>
      <c r="CJ51" s="141"/>
      <c r="CK51" s="141"/>
      <c r="CL51" s="145">
        <f t="shared" si="82"/>
        <v>0</v>
      </c>
      <c r="CM51" s="146">
        <f t="shared" si="83"/>
        <v>0</v>
      </c>
      <c r="CN51" s="147"/>
      <c r="CO51" s="141"/>
      <c r="CP51" s="137">
        <f t="shared" si="32"/>
        <v>0</v>
      </c>
      <c r="CQ51" s="148"/>
      <c r="CR51" s="137">
        <f t="shared" si="33"/>
        <v>0</v>
      </c>
    </row>
    <row r="52" spans="1:96" ht="15" thickBot="1" x14ac:dyDescent="0.25">
      <c r="A52" s="1">
        <v>22</v>
      </c>
      <c r="C52" s="9" t="s">
        <v>41</v>
      </c>
      <c r="D52" s="8">
        <v>1533</v>
      </c>
      <c r="E52" s="151"/>
      <c r="F52" s="152"/>
      <c r="G52" s="152"/>
      <c r="H52" s="152"/>
      <c r="I52" s="142"/>
      <c r="J52" s="152"/>
      <c r="K52" s="152"/>
      <c r="L52" s="152"/>
      <c r="M52" s="152"/>
      <c r="N52" s="143"/>
      <c r="O52" s="144"/>
      <c r="P52" s="152"/>
      <c r="Q52" s="152"/>
      <c r="R52" s="152"/>
      <c r="S52" s="142"/>
      <c r="T52" s="145"/>
      <c r="U52" s="152"/>
      <c r="V52" s="152"/>
      <c r="W52" s="152"/>
      <c r="X52" s="143"/>
      <c r="Y52" s="144"/>
      <c r="Z52" s="152"/>
      <c r="AA52" s="152"/>
      <c r="AB52" s="152"/>
      <c r="AC52" s="142"/>
      <c r="AD52" s="152"/>
      <c r="AE52" s="152"/>
      <c r="AF52" s="152"/>
      <c r="AG52" s="152"/>
      <c r="AH52" s="143"/>
      <c r="AI52" s="144"/>
      <c r="AJ52" s="152"/>
      <c r="AK52" s="152"/>
      <c r="AL52" s="152"/>
      <c r="AM52" s="142"/>
      <c r="AN52" s="152"/>
      <c r="AO52" s="152"/>
      <c r="AP52" s="152"/>
      <c r="AQ52" s="152"/>
      <c r="AR52" s="143"/>
      <c r="AS52" s="155"/>
      <c r="AT52" s="154"/>
      <c r="AU52" s="154"/>
      <c r="AV52" s="154"/>
      <c r="AW52" s="142">
        <f t="shared" si="67"/>
        <v>0</v>
      </c>
      <c r="AX52" s="145">
        <f t="shared" si="68"/>
        <v>0</v>
      </c>
      <c r="AY52" s="154"/>
      <c r="AZ52" s="154"/>
      <c r="BA52" s="154"/>
      <c r="BB52" s="143">
        <f t="shared" si="69"/>
        <v>0</v>
      </c>
      <c r="BC52" s="144">
        <f t="shared" si="81"/>
        <v>0</v>
      </c>
      <c r="BD52" s="141"/>
      <c r="BE52" s="141"/>
      <c r="BF52" s="141"/>
      <c r="BG52" s="142">
        <f t="shared" si="70"/>
        <v>0</v>
      </c>
      <c r="BH52" s="145">
        <f t="shared" si="71"/>
        <v>0</v>
      </c>
      <c r="BI52" s="141"/>
      <c r="BJ52" s="141"/>
      <c r="BK52" s="141"/>
      <c r="BL52" s="143">
        <f t="shared" si="72"/>
        <v>0</v>
      </c>
      <c r="BM52" s="144">
        <f t="shared" si="86"/>
        <v>0</v>
      </c>
      <c r="BN52" s="141"/>
      <c r="BO52" s="141"/>
      <c r="BP52" s="141"/>
      <c r="BQ52" s="142">
        <f t="shared" si="74"/>
        <v>0</v>
      </c>
      <c r="BR52" s="145">
        <f t="shared" si="75"/>
        <v>0</v>
      </c>
      <c r="BS52" s="141"/>
      <c r="BT52" s="141"/>
      <c r="BU52" s="154"/>
      <c r="BV52" s="143">
        <f t="shared" si="87"/>
        <v>0</v>
      </c>
      <c r="BW52" s="144">
        <f t="shared" si="77"/>
        <v>0</v>
      </c>
      <c r="BX52" s="141"/>
      <c r="BY52" s="141"/>
      <c r="BZ52" s="141"/>
      <c r="CA52" s="141"/>
      <c r="CB52" s="141"/>
      <c r="CC52" s="141"/>
      <c r="CD52" s="142">
        <f t="shared" si="88"/>
        <v>0</v>
      </c>
      <c r="CE52" s="145">
        <f t="shared" si="89"/>
        <v>0</v>
      </c>
      <c r="CF52" s="141"/>
      <c r="CG52" s="141"/>
      <c r="CH52" s="154"/>
      <c r="CI52" s="143">
        <f t="shared" si="80"/>
        <v>0</v>
      </c>
      <c r="CJ52" s="141"/>
      <c r="CK52" s="141"/>
      <c r="CL52" s="145">
        <f t="shared" si="82"/>
        <v>0</v>
      </c>
      <c r="CM52" s="146">
        <f t="shared" si="83"/>
        <v>0</v>
      </c>
      <c r="CN52" s="147"/>
      <c r="CO52" s="141"/>
      <c r="CP52" s="137">
        <f t="shared" si="32"/>
        <v>0</v>
      </c>
      <c r="CQ52" s="148"/>
      <c r="CR52" s="137">
        <f t="shared" si="33"/>
        <v>0</v>
      </c>
    </row>
    <row r="53" spans="1:96" ht="15" thickBot="1" x14ac:dyDescent="0.25">
      <c r="A53" s="1">
        <v>23</v>
      </c>
      <c r="C53" s="5" t="s">
        <v>32</v>
      </c>
      <c r="D53" s="8">
        <v>1534</v>
      </c>
      <c r="E53" s="151"/>
      <c r="F53" s="152"/>
      <c r="G53" s="152"/>
      <c r="H53" s="152"/>
      <c r="I53" s="142"/>
      <c r="J53" s="152"/>
      <c r="K53" s="152"/>
      <c r="L53" s="152"/>
      <c r="M53" s="152"/>
      <c r="N53" s="143"/>
      <c r="O53" s="144"/>
      <c r="P53" s="152"/>
      <c r="Q53" s="152"/>
      <c r="R53" s="152"/>
      <c r="S53" s="142"/>
      <c r="T53" s="145"/>
      <c r="U53" s="152"/>
      <c r="V53" s="152"/>
      <c r="W53" s="152"/>
      <c r="X53" s="143"/>
      <c r="Y53" s="144"/>
      <c r="Z53" s="152"/>
      <c r="AA53" s="152"/>
      <c r="AB53" s="152"/>
      <c r="AC53" s="142"/>
      <c r="AD53" s="152"/>
      <c r="AE53" s="152"/>
      <c r="AF53" s="152"/>
      <c r="AG53" s="152"/>
      <c r="AH53" s="143"/>
      <c r="AI53" s="144"/>
      <c r="AJ53" s="152"/>
      <c r="AK53" s="152"/>
      <c r="AL53" s="152"/>
      <c r="AM53" s="142"/>
      <c r="AN53" s="152"/>
      <c r="AO53" s="152"/>
      <c r="AP53" s="152"/>
      <c r="AQ53" s="152"/>
      <c r="AR53" s="143"/>
      <c r="AS53" s="155"/>
      <c r="AT53" s="154"/>
      <c r="AU53" s="154"/>
      <c r="AV53" s="154"/>
      <c r="AW53" s="142">
        <f t="shared" si="67"/>
        <v>0</v>
      </c>
      <c r="AX53" s="145">
        <f t="shared" si="68"/>
        <v>0</v>
      </c>
      <c r="AY53" s="154"/>
      <c r="AZ53" s="154"/>
      <c r="BA53" s="154"/>
      <c r="BB53" s="143">
        <f t="shared" si="69"/>
        <v>0</v>
      </c>
      <c r="BC53" s="144">
        <f t="shared" si="81"/>
        <v>0</v>
      </c>
      <c r="BD53" s="141"/>
      <c r="BE53" s="141"/>
      <c r="BF53" s="141"/>
      <c r="BG53" s="142">
        <f t="shared" si="70"/>
        <v>0</v>
      </c>
      <c r="BH53" s="145">
        <f t="shared" si="71"/>
        <v>0</v>
      </c>
      <c r="BI53" s="141"/>
      <c r="BJ53" s="141"/>
      <c r="BK53" s="141"/>
      <c r="BL53" s="143">
        <f t="shared" si="72"/>
        <v>0</v>
      </c>
      <c r="BM53" s="144">
        <f t="shared" si="86"/>
        <v>0</v>
      </c>
      <c r="BN53" s="141"/>
      <c r="BO53" s="141"/>
      <c r="BP53" s="141"/>
      <c r="BQ53" s="142">
        <f t="shared" si="74"/>
        <v>0</v>
      </c>
      <c r="BR53" s="145">
        <f t="shared" si="75"/>
        <v>0</v>
      </c>
      <c r="BS53" s="141"/>
      <c r="BT53" s="141"/>
      <c r="BU53" s="154"/>
      <c r="BV53" s="143">
        <f t="shared" si="87"/>
        <v>0</v>
      </c>
      <c r="BW53" s="144">
        <f t="shared" si="77"/>
        <v>0</v>
      </c>
      <c r="BX53" s="141"/>
      <c r="BY53" s="141"/>
      <c r="BZ53" s="141"/>
      <c r="CA53" s="141"/>
      <c r="CB53" s="141"/>
      <c r="CC53" s="141"/>
      <c r="CD53" s="142">
        <f t="shared" si="88"/>
        <v>0</v>
      </c>
      <c r="CE53" s="145">
        <f t="shared" si="89"/>
        <v>0</v>
      </c>
      <c r="CF53" s="141"/>
      <c r="CG53" s="141"/>
      <c r="CH53" s="154"/>
      <c r="CI53" s="143">
        <f t="shared" si="80"/>
        <v>0</v>
      </c>
      <c r="CJ53" s="141"/>
      <c r="CK53" s="141"/>
      <c r="CL53" s="145">
        <f t="shared" si="82"/>
        <v>0</v>
      </c>
      <c r="CM53" s="146">
        <f t="shared" si="83"/>
        <v>0</v>
      </c>
      <c r="CN53" s="147"/>
      <c r="CO53" s="141"/>
      <c r="CP53" s="137">
        <f t="shared" si="32"/>
        <v>0</v>
      </c>
      <c r="CQ53" s="148"/>
      <c r="CR53" s="137">
        <f t="shared" si="33"/>
        <v>0</v>
      </c>
    </row>
    <row r="54" spans="1:96" ht="15" thickBot="1" x14ac:dyDescent="0.25">
      <c r="A54" s="1">
        <v>24</v>
      </c>
      <c r="C54" s="5" t="s">
        <v>33</v>
      </c>
      <c r="D54" s="8">
        <v>1535</v>
      </c>
      <c r="E54" s="151"/>
      <c r="F54" s="152"/>
      <c r="G54" s="152"/>
      <c r="H54" s="152"/>
      <c r="I54" s="142"/>
      <c r="J54" s="152"/>
      <c r="K54" s="152"/>
      <c r="L54" s="152"/>
      <c r="M54" s="152"/>
      <c r="N54" s="143"/>
      <c r="O54" s="144"/>
      <c r="P54" s="152"/>
      <c r="Q54" s="152"/>
      <c r="R54" s="152"/>
      <c r="S54" s="142"/>
      <c r="T54" s="145"/>
      <c r="U54" s="152"/>
      <c r="V54" s="152"/>
      <c r="W54" s="152"/>
      <c r="X54" s="143"/>
      <c r="Y54" s="144"/>
      <c r="Z54" s="152"/>
      <c r="AA54" s="152"/>
      <c r="AB54" s="152"/>
      <c r="AC54" s="142"/>
      <c r="AD54" s="152"/>
      <c r="AE54" s="152"/>
      <c r="AF54" s="152"/>
      <c r="AG54" s="152"/>
      <c r="AH54" s="143"/>
      <c r="AI54" s="144"/>
      <c r="AJ54" s="152"/>
      <c r="AK54" s="152"/>
      <c r="AL54" s="152"/>
      <c r="AM54" s="142"/>
      <c r="AN54" s="152"/>
      <c r="AO54" s="152"/>
      <c r="AP54" s="152"/>
      <c r="AQ54" s="152"/>
      <c r="AR54" s="143"/>
      <c r="AS54" s="155"/>
      <c r="AT54" s="154"/>
      <c r="AU54" s="154"/>
      <c r="AV54" s="154"/>
      <c r="AW54" s="142">
        <f t="shared" si="67"/>
        <v>0</v>
      </c>
      <c r="AX54" s="145">
        <f t="shared" si="68"/>
        <v>0</v>
      </c>
      <c r="AY54" s="154"/>
      <c r="AZ54" s="154"/>
      <c r="BA54" s="154"/>
      <c r="BB54" s="143">
        <f t="shared" si="69"/>
        <v>0</v>
      </c>
      <c r="BC54" s="144">
        <f t="shared" si="81"/>
        <v>0</v>
      </c>
      <c r="BD54" s="141"/>
      <c r="BE54" s="141"/>
      <c r="BF54" s="141"/>
      <c r="BG54" s="142">
        <f t="shared" si="70"/>
        <v>0</v>
      </c>
      <c r="BH54" s="145">
        <f t="shared" si="71"/>
        <v>0</v>
      </c>
      <c r="BI54" s="141"/>
      <c r="BJ54" s="141"/>
      <c r="BK54" s="141"/>
      <c r="BL54" s="143">
        <f t="shared" si="72"/>
        <v>0</v>
      </c>
      <c r="BM54" s="144">
        <f t="shared" si="86"/>
        <v>0</v>
      </c>
      <c r="BN54" s="141"/>
      <c r="BO54" s="141"/>
      <c r="BP54" s="141"/>
      <c r="BQ54" s="142">
        <f t="shared" si="74"/>
        <v>0</v>
      </c>
      <c r="BR54" s="145">
        <f t="shared" si="75"/>
        <v>0</v>
      </c>
      <c r="BS54" s="141"/>
      <c r="BT54" s="141"/>
      <c r="BU54" s="154"/>
      <c r="BV54" s="143">
        <f t="shared" si="87"/>
        <v>0</v>
      </c>
      <c r="BW54" s="144">
        <f t="shared" si="77"/>
        <v>0</v>
      </c>
      <c r="BX54" s="141"/>
      <c r="BY54" s="141"/>
      <c r="BZ54" s="141"/>
      <c r="CA54" s="141"/>
      <c r="CB54" s="141"/>
      <c r="CC54" s="141"/>
      <c r="CD54" s="142">
        <f t="shared" si="88"/>
        <v>0</v>
      </c>
      <c r="CE54" s="145">
        <f t="shared" si="89"/>
        <v>0</v>
      </c>
      <c r="CF54" s="141"/>
      <c r="CG54" s="141"/>
      <c r="CH54" s="154"/>
      <c r="CI54" s="143">
        <f t="shared" si="80"/>
        <v>0</v>
      </c>
      <c r="CJ54" s="141"/>
      <c r="CK54" s="141"/>
      <c r="CL54" s="145">
        <f t="shared" si="82"/>
        <v>0</v>
      </c>
      <c r="CM54" s="146">
        <f t="shared" si="83"/>
        <v>0</v>
      </c>
      <c r="CN54" s="147"/>
      <c r="CO54" s="141"/>
      <c r="CP54" s="137">
        <f t="shared" si="32"/>
        <v>0</v>
      </c>
      <c r="CQ54" s="148"/>
      <c r="CR54" s="137">
        <f t="shared" si="33"/>
        <v>0</v>
      </c>
    </row>
    <row r="55" spans="1:96" ht="15" thickBot="1" x14ac:dyDescent="0.25">
      <c r="A55" s="1">
        <v>25</v>
      </c>
      <c r="C55" s="5" t="s">
        <v>39</v>
      </c>
      <c r="D55" s="8">
        <v>1536</v>
      </c>
      <c r="E55" s="151"/>
      <c r="F55" s="152"/>
      <c r="G55" s="152"/>
      <c r="H55" s="152"/>
      <c r="I55" s="142"/>
      <c r="J55" s="152"/>
      <c r="K55" s="152"/>
      <c r="L55" s="152"/>
      <c r="M55" s="152"/>
      <c r="N55" s="143"/>
      <c r="O55" s="144"/>
      <c r="P55" s="152"/>
      <c r="Q55" s="152"/>
      <c r="R55" s="152"/>
      <c r="S55" s="142"/>
      <c r="T55" s="145"/>
      <c r="U55" s="152"/>
      <c r="V55" s="152"/>
      <c r="W55" s="152"/>
      <c r="X55" s="143"/>
      <c r="Y55" s="144"/>
      <c r="Z55" s="152"/>
      <c r="AA55" s="152"/>
      <c r="AB55" s="152"/>
      <c r="AC55" s="142"/>
      <c r="AD55" s="152"/>
      <c r="AE55" s="152"/>
      <c r="AF55" s="152"/>
      <c r="AG55" s="152"/>
      <c r="AH55" s="143"/>
      <c r="AI55" s="144"/>
      <c r="AJ55" s="152"/>
      <c r="AK55" s="152"/>
      <c r="AL55" s="152"/>
      <c r="AM55" s="142"/>
      <c r="AN55" s="152"/>
      <c r="AO55" s="152"/>
      <c r="AP55" s="152"/>
      <c r="AQ55" s="152"/>
      <c r="AR55" s="143"/>
      <c r="AS55" s="155"/>
      <c r="AT55" s="154"/>
      <c r="AU55" s="154"/>
      <c r="AV55" s="154"/>
      <c r="AW55" s="142">
        <f t="shared" si="67"/>
        <v>0</v>
      </c>
      <c r="AX55" s="145">
        <f t="shared" si="68"/>
        <v>0</v>
      </c>
      <c r="AY55" s="154"/>
      <c r="AZ55" s="154"/>
      <c r="BA55" s="154"/>
      <c r="BB55" s="143">
        <f t="shared" si="69"/>
        <v>0</v>
      </c>
      <c r="BC55" s="144">
        <f t="shared" si="81"/>
        <v>0</v>
      </c>
      <c r="BD55" s="141"/>
      <c r="BE55" s="141"/>
      <c r="BF55" s="141"/>
      <c r="BG55" s="142">
        <f t="shared" si="70"/>
        <v>0</v>
      </c>
      <c r="BH55" s="145">
        <f t="shared" si="71"/>
        <v>0</v>
      </c>
      <c r="BI55" s="141"/>
      <c r="BJ55" s="141"/>
      <c r="BK55" s="141"/>
      <c r="BL55" s="143">
        <f t="shared" si="72"/>
        <v>0</v>
      </c>
      <c r="BM55" s="144">
        <f t="shared" si="86"/>
        <v>0</v>
      </c>
      <c r="BN55" s="141"/>
      <c r="BO55" s="141"/>
      <c r="BP55" s="141"/>
      <c r="BQ55" s="142">
        <f t="shared" si="74"/>
        <v>0</v>
      </c>
      <c r="BR55" s="145">
        <f t="shared" si="75"/>
        <v>0</v>
      </c>
      <c r="BS55" s="141"/>
      <c r="BT55" s="141"/>
      <c r="BU55" s="154"/>
      <c r="BV55" s="143">
        <f t="shared" si="87"/>
        <v>0</v>
      </c>
      <c r="BW55" s="144">
        <f t="shared" si="77"/>
        <v>0</v>
      </c>
      <c r="BX55" s="141"/>
      <c r="BY55" s="141"/>
      <c r="BZ55" s="141"/>
      <c r="CA55" s="141"/>
      <c r="CB55" s="141"/>
      <c r="CC55" s="141"/>
      <c r="CD55" s="142">
        <f t="shared" si="88"/>
        <v>0</v>
      </c>
      <c r="CE55" s="145">
        <f t="shared" si="89"/>
        <v>0</v>
      </c>
      <c r="CF55" s="141"/>
      <c r="CG55" s="141"/>
      <c r="CH55" s="154"/>
      <c r="CI55" s="143">
        <f t="shared" si="80"/>
        <v>0</v>
      </c>
      <c r="CJ55" s="141"/>
      <c r="CK55" s="141"/>
      <c r="CL55" s="145">
        <f t="shared" si="82"/>
        <v>0</v>
      </c>
      <c r="CM55" s="146">
        <f t="shared" si="83"/>
        <v>0</v>
      </c>
      <c r="CN55" s="147"/>
      <c r="CO55" s="141"/>
      <c r="CP55" s="137">
        <f t="shared" si="32"/>
        <v>0</v>
      </c>
      <c r="CQ55" s="148"/>
      <c r="CR55" s="137">
        <f t="shared" si="33"/>
        <v>0</v>
      </c>
    </row>
    <row r="56" spans="1:96" ht="15" thickBot="1" x14ac:dyDescent="0.25">
      <c r="A56" s="1">
        <v>26</v>
      </c>
      <c r="C56" s="5" t="s">
        <v>5</v>
      </c>
      <c r="D56" s="8">
        <v>1548</v>
      </c>
      <c r="E56" s="156"/>
      <c r="F56" s="155"/>
      <c r="G56" s="155"/>
      <c r="H56" s="155"/>
      <c r="I56" s="142">
        <f t="shared" si="52"/>
        <v>0</v>
      </c>
      <c r="J56" s="155"/>
      <c r="K56" s="155"/>
      <c r="L56" s="155"/>
      <c r="M56" s="155"/>
      <c r="N56" s="143">
        <f t="shared" si="53"/>
        <v>0</v>
      </c>
      <c r="O56" s="144">
        <f t="shared" ref="O56:O61" si="92">I56</f>
        <v>0</v>
      </c>
      <c r="P56" s="155"/>
      <c r="Q56" s="155"/>
      <c r="R56" s="155"/>
      <c r="S56" s="142">
        <f t="shared" si="55"/>
        <v>0</v>
      </c>
      <c r="T56" s="145">
        <f t="shared" si="56"/>
        <v>0</v>
      </c>
      <c r="U56" s="155"/>
      <c r="V56" s="155"/>
      <c r="W56" s="155"/>
      <c r="X56" s="143">
        <f t="shared" si="57"/>
        <v>0</v>
      </c>
      <c r="Y56" s="144">
        <f>S56</f>
        <v>0</v>
      </c>
      <c r="Z56" s="155"/>
      <c r="AA56" s="155"/>
      <c r="AB56" s="155"/>
      <c r="AC56" s="142">
        <f t="shared" si="59"/>
        <v>0</v>
      </c>
      <c r="AD56" s="145">
        <f>X56</f>
        <v>0</v>
      </c>
      <c r="AE56" s="155"/>
      <c r="AF56" s="155"/>
      <c r="AG56" s="155"/>
      <c r="AH56" s="143">
        <f t="shared" si="61"/>
        <v>0</v>
      </c>
      <c r="AI56" s="144">
        <f>AC56</f>
        <v>0</v>
      </c>
      <c r="AJ56" s="155"/>
      <c r="AK56" s="155"/>
      <c r="AL56" s="155">
        <v>3780.54</v>
      </c>
      <c r="AM56" s="142">
        <f t="shared" si="63"/>
        <v>3780.54</v>
      </c>
      <c r="AN56" s="145">
        <f>AH56</f>
        <v>0</v>
      </c>
      <c r="AO56" s="155"/>
      <c r="AP56" s="155"/>
      <c r="AQ56" s="155">
        <v>1014.52</v>
      </c>
      <c r="AR56" s="143">
        <f t="shared" si="65"/>
        <v>1014.52</v>
      </c>
      <c r="AS56" s="144">
        <f>AM56</f>
        <v>3780.54</v>
      </c>
      <c r="AT56" s="154">
        <v>1729.4</v>
      </c>
      <c r="AU56" s="154"/>
      <c r="AV56" s="154"/>
      <c r="AW56" s="142">
        <f t="shared" si="67"/>
        <v>5509.9400000000005</v>
      </c>
      <c r="AX56" s="145">
        <f t="shared" si="68"/>
        <v>1014.52</v>
      </c>
      <c r="AY56" s="141">
        <v>49.07</v>
      </c>
      <c r="AZ56" s="141"/>
      <c r="BA56" s="141"/>
      <c r="BB56" s="143">
        <f t="shared" si="69"/>
        <v>1063.5899999999999</v>
      </c>
      <c r="BC56" s="144">
        <f t="shared" si="81"/>
        <v>5509.9400000000005</v>
      </c>
      <c r="BD56" s="141">
        <v>1185.9000000000001</v>
      </c>
      <c r="BE56" s="141">
        <v>3780.54</v>
      </c>
      <c r="BF56" s="141"/>
      <c r="BG56" s="142">
        <f t="shared" si="70"/>
        <v>2915.3</v>
      </c>
      <c r="BH56" s="145">
        <f t="shared" si="71"/>
        <v>1063.5899999999999</v>
      </c>
      <c r="BI56" s="141">
        <v>25.21</v>
      </c>
      <c r="BJ56" s="155">
        <v>1065</v>
      </c>
      <c r="BK56" s="155"/>
      <c r="BL56" s="143">
        <f t="shared" si="72"/>
        <v>23.799999999999955</v>
      </c>
      <c r="BM56" s="144">
        <f t="shared" si="86"/>
        <v>2915.3</v>
      </c>
      <c r="BN56" s="141">
        <v>1368.16</v>
      </c>
      <c r="BO56" s="141"/>
      <c r="BP56" s="141"/>
      <c r="BQ56" s="142">
        <f t="shared" si="74"/>
        <v>4283.46</v>
      </c>
      <c r="BR56" s="145">
        <f t="shared" si="75"/>
        <v>23.799999999999955</v>
      </c>
      <c r="BS56" s="141">
        <v>53.12</v>
      </c>
      <c r="BT56" s="155"/>
      <c r="BU56" s="154"/>
      <c r="BV56" s="143">
        <f t="shared" si="87"/>
        <v>76.919999999999959</v>
      </c>
      <c r="BW56" s="144">
        <f t="shared" si="77"/>
        <v>4283.46</v>
      </c>
      <c r="BX56" s="141">
        <v>1683.49</v>
      </c>
      <c r="BY56" s="141"/>
      <c r="BZ56" s="141"/>
      <c r="CA56" s="141"/>
      <c r="CB56" s="141"/>
      <c r="CC56" s="141"/>
      <c r="CD56" s="142">
        <f t="shared" si="88"/>
        <v>5966.95</v>
      </c>
      <c r="CE56" s="145">
        <f t="shared" si="89"/>
        <v>76.919999999999959</v>
      </c>
      <c r="CF56" s="141">
        <v>74.19</v>
      </c>
      <c r="CG56" s="155"/>
      <c r="CH56" s="154"/>
      <c r="CI56" s="143">
        <f t="shared" si="80"/>
        <v>151.10999999999996</v>
      </c>
      <c r="CJ56" s="140"/>
      <c r="CK56" s="141"/>
      <c r="CL56" s="145">
        <f t="shared" si="82"/>
        <v>5966.95</v>
      </c>
      <c r="CM56" s="146">
        <f t="shared" si="83"/>
        <v>151.10999999999996</v>
      </c>
      <c r="CN56" s="147">
        <f t="shared" ref="CN56" si="93">ROUND(CL56*1.47%,2)</f>
        <v>87.71</v>
      </c>
      <c r="CO56" s="141">
        <f t="shared" ref="CO56" si="94">ROUND(CL56*1.47%*4/12,2)</f>
        <v>29.24</v>
      </c>
      <c r="CP56" s="137">
        <f t="shared" si="32"/>
        <v>6235.0099999999993</v>
      </c>
      <c r="CQ56" s="148">
        <v>6118.06</v>
      </c>
      <c r="CR56" s="137">
        <f t="shared" si="33"/>
        <v>0</v>
      </c>
    </row>
    <row r="57" spans="1:96" ht="15" thickBot="1" x14ac:dyDescent="0.25">
      <c r="A57" s="1">
        <v>27</v>
      </c>
      <c r="C57" s="5" t="s">
        <v>66</v>
      </c>
      <c r="D57" s="8">
        <v>1567</v>
      </c>
      <c r="E57" s="151"/>
      <c r="F57" s="152"/>
      <c r="G57" s="152"/>
      <c r="H57" s="152"/>
      <c r="I57" s="142"/>
      <c r="J57" s="152"/>
      <c r="K57" s="152"/>
      <c r="L57" s="152"/>
      <c r="M57" s="152"/>
      <c r="N57" s="143"/>
      <c r="O57" s="144"/>
      <c r="P57" s="152"/>
      <c r="Q57" s="152"/>
      <c r="R57" s="152"/>
      <c r="S57" s="142"/>
      <c r="T57" s="145"/>
      <c r="U57" s="152"/>
      <c r="V57" s="152"/>
      <c r="W57" s="152"/>
      <c r="X57" s="143"/>
      <c r="Y57" s="144"/>
      <c r="Z57" s="152"/>
      <c r="AA57" s="152"/>
      <c r="AB57" s="152"/>
      <c r="AC57" s="142"/>
      <c r="AD57" s="152"/>
      <c r="AE57" s="152"/>
      <c r="AF57" s="152"/>
      <c r="AG57" s="152"/>
      <c r="AH57" s="143"/>
      <c r="AI57" s="144"/>
      <c r="AJ57" s="152"/>
      <c r="AK57" s="152"/>
      <c r="AL57" s="152"/>
      <c r="AM57" s="142"/>
      <c r="AN57" s="152"/>
      <c r="AO57" s="152"/>
      <c r="AP57" s="152"/>
      <c r="AQ57" s="152"/>
      <c r="AR57" s="143"/>
      <c r="AS57" s="157"/>
      <c r="AT57" s="158"/>
      <c r="AU57" s="158"/>
      <c r="AV57" s="158"/>
      <c r="AW57" s="142"/>
      <c r="AX57" s="145"/>
      <c r="AY57" s="158"/>
      <c r="AZ57" s="158"/>
      <c r="BA57" s="158"/>
      <c r="BB57" s="143">
        <f t="shared" si="69"/>
        <v>0</v>
      </c>
      <c r="BC57" s="140"/>
      <c r="BD57" s="141"/>
      <c r="BE57" s="141"/>
      <c r="BF57" s="141"/>
      <c r="BG57" s="142">
        <f t="shared" si="70"/>
        <v>0</v>
      </c>
      <c r="BH57" s="145">
        <f t="shared" si="71"/>
        <v>0</v>
      </c>
      <c r="BI57" s="141"/>
      <c r="BJ57" s="141"/>
      <c r="BK57" s="141"/>
      <c r="BL57" s="143">
        <f>BH57+BI57-BJ57+BK57</f>
        <v>0</v>
      </c>
      <c r="BM57" s="144">
        <f t="shared" si="86"/>
        <v>0</v>
      </c>
      <c r="BN57" s="141"/>
      <c r="BO57" s="141"/>
      <c r="BP57" s="141"/>
      <c r="BQ57" s="142">
        <f t="shared" si="74"/>
        <v>0</v>
      </c>
      <c r="BR57" s="145">
        <f t="shared" si="75"/>
        <v>0</v>
      </c>
      <c r="BS57" s="141"/>
      <c r="BT57" s="141"/>
      <c r="BU57" s="141"/>
      <c r="BV57" s="143">
        <f>BR57+BS57-BT57+BU57</f>
        <v>0</v>
      </c>
      <c r="BW57" s="144">
        <f t="shared" si="77"/>
        <v>0</v>
      </c>
      <c r="BX57" s="141"/>
      <c r="BY57" s="141"/>
      <c r="BZ57" s="141"/>
      <c r="CA57" s="141"/>
      <c r="CB57" s="141"/>
      <c r="CC57" s="141"/>
      <c r="CD57" s="142">
        <f>BW57+BX57-BY57+SUM(BZ57:CC57)</f>
        <v>0</v>
      </c>
      <c r="CE57" s="145">
        <f>BV57</f>
        <v>0</v>
      </c>
      <c r="CF57" s="141"/>
      <c r="CG57" s="141"/>
      <c r="CH57" s="141"/>
      <c r="CI57" s="143">
        <f>CE57+CF57-CG57+CH57</f>
        <v>0</v>
      </c>
      <c r="CJ57" s="140"/>
      <c r="CK57" s="141"/>
      <c r="CL57" s="145">
        <f t="shared" si="82"/>
        <v>0</v>
      </c>
      <c r="CM57" s="146">
        <f t="shared" si="83"/>
        <v>0</v>
      </c>
      <c r="CN57" s="147"/>
      <c r="CO57" s="141"/>
      <c r="CP57" s="137">
        <f t="shared" si="32"/>
        <v>0</v>
      </c>
      <c r="CQ57" s="148"/>
      <c r="CR57" s="137">
        <f t="shared" si="33"/>
        <v>0</v>
      </c>
    </row>
    <row r="58" spans="1:96" ht="15" thickBot="1" x14ac:dyDescent="0.25">
      <c r="A58" s="1">
        <v>28</v>
      </c>
      <c r="C58" s="5" t="s">
        <v>18</v>
      </c>
      <c r="D58" s="8">
        <v>1572</v>
      </c>
      <c r="E58" s="140"/>
      <c r="F58" s="141"/>
      <c r="G58" s="141"/>
      <c r="H58" s="141"/>
      <c r="I58" s="142">
        <f t="shared" si="52"/>
        <v>0</v>
      </c>
      <c r="J58" s="141"/>
      <c r="K58" s="141"/>
      <c r="L58" s="141"/>
      <c r="M58" s="141"/>
      <c r="N58" s="143">
        <f t="shared" si="53"/>
        <v>0</v>
      </c>
      <c r="O58" s="144">
        <f t="shared" si="92"/>
        <v>0</v>
      </c>
      <c r="P58" s="141"/>
      <c r="Q58" s="141"/>
      <c r="R58" s="141"/>
      <c r="S58" s="142">
        <f t="shared" si="55"/>
        <v>0</v>
      </c>
      <c r="T58" s="145">
        <f t="shared" si="56"/>
        <v>0</v>
      </c>
      <c r="U58" s="141"/>
      <c r="V58" s="141"/>
      <c r="W58" s="141"/>
      <c r="X58" s="143">
        <f t="shared" si="57"/>
        <v>0</v>
      </c>
      <c r="Y58" s="144">
        <f>S58</f>
        <v>0</v>
      </c>
      <c r="Z58" s="141"/>
      <c r="AA58" s="141"/>
      <c r="AB58" s="141"/>
      <c r="AC58" s="142">
        <f t="shared" si="59"/>
        <v>0</v>
      </c>
      <c r="AD58" s="145">
        <f>X58</f>
        <v>0</v>
      </c>
      <c r="AE58" s="141"/>
      <c r="AF58" s="141"/>
      <c r="AG58" s="141"/>
      <c r="AH58" s="143">
        <f t="shared" si="61"/>
        <v>0</v>
      </c>
      <c r="AI58" s="144">
        <f>AC58</f>
        <v>0</v>
      </c>
      <c r="AJ58" s="141"/>
      <c r="AK58" s="141"/>
      <c r="AL58" s="141"/>
      <c r="AM58" s="142">
        <f t="shared" si="63"/>
        <v>0</v>
      </c>
      <c r="AN58" s="145">
        <f>AH58</f>
        <v>0</v>
      </c>
      <c r="AO58" s="141"/>
      <c r="AP58" s="141"/>
      <c r="AQ58" s="141"/>
      <c r="AR58" s="143">
        <f t="shared" si="65"/>
        <v>0</v>
      </c>
      <c r="AS58" s="144">
        <f>AM58</f>
        <v>0</v>
      </c>
      <c r="AT58" s="141"/>
      <c r="AU58" s="141"/>
      <c r="AV58" s="141"/>
      <c r="AW58" s="142">
        <f t="shared" si="67"/>
        <v>0</v>
      </c>
      <c r="AX58" s="145">
        <f>AR58</f>
        <v>0</v>
      </c>
      <c r="AY58" s="141"/>
      <c r="AZ58" s="141"/>
      <c r="BA58" s="141"/>
      <c r="BB58" s="143">
        <f t="shared" si="69"/>
        <v>0</v>
      </c>
      <c r="BC58" s="144">
        <f>AW58</f>
        <v>0</v>
      </c>
      <c r="BD58" s="141"/>
      <c r="BE58" s="141"/>
      <c r="BF58" s="141"/>
      <c r="BG58" s="142">
        <f t="shared" si="70"/>
        <v>0</v>
      </c>
      <c r="BH58" s="145">
        <f t="shared" si="71"/>
        <v>0</v>
      </c>
      <c r="BI58" s="141"/>
      <c r="BJ58" s="141"/>
      <c r="BK58" s="141"/>
      <c r="BL58" s="143">
        <f t="shared" si="72"/>
        <v>0</v>
      </c>
      <c r="BM58" s="144">
        <f>BG58</f>
        <v>0</v>
      </c>
      <c r="BN58" s="141"/>
      <c r="BO58" s="141"/>
      <c r="BP58" s="141"/>
      <c r="BQ58" s="142">
        <f t="shared" si="74"/>
        <v>0</v>
      </c>
      <c r="BR58" s="145">
        <f t="shared" si="75"/>
        <v>0</v>
      </c>
      <c r="BS58" s="141"/>
      <c r="BT58" s="141"/>
      <c r="BU58" s="141"/>
      <c r="BV58" s="143">
        <f>BR58+BS58-BT58+BU58</f>
        <v>0</v>
      </c>
      <c r="BW58" s="144">
        <f>BQ58</f>
        <v>0</v>
      </c>
      <c r="BX58" s="141"/>
      <c r="BY58" s="141"/>
      <c r="BZ58" s="141"/>
      <c r="CA58" s="141"/>
      <c r="CB58" s="141"/>
      <c r="CC58" s="141"/>
      <c r="CD58" s="142">
        <f t="shared" ref="CD58:CD61" si="95">BW58+BX58-BY58+SUM(BZ58:CC58)</f>
        <v>0</v>
      </c>
      <c r="CE58" s="145">
        <f t="shared" ref="CE58:CE61" si="96">BV58</f>
        <v>0</v>
      </c>
      <c r="CF58" s="141"/>
      <c r="CG58" s="141"/>
      <c r="CH58" s="141"/>
      <c r="CI58" s="143">
        <f>CE58+CF58-CG58+CH58</f>
        <v>0</v>
      </c>
      <c r="CJ58" s="140"/>
      <c r="CK58" s="141"/>
      <c r="CL58" s="145">
        <f t="shared" si="82"/>
        <v>0</v>
      </c>
      <c r="CM58" s="146">
        <f t="shared" si="83"/>
        <v>0</v>
      </c>
      <c r="CN58" s="147"/>
      <c r="CO58" s="141"/>
      <c r="CP58" s="137">
        <f t="shared" si="32"/>
        <v>0</v>
      </c>
      <c r="CQ58" s="148"/>
      <c r="CR58" s="137">
        <f t="shared" si="33"/>
        <v>0</v>
      </c>
    </row>
    <row r="59" spans="1:96" ht="15" thickBot="1" x14ac:dyDescent="0.25">
      <c r="A59" s="1">
        <v>29</v>
      </c>
      <c r="C59" s="5" t="s">
        <v>6</v>
      </c>
      <c r="D59" s="8">
        <v>1574</v>
      </c>
      <c r="E59" s="140"/>
      <c r="F59" s="141"/>
      <c r="G59" s="141"/>
      <c r="H59" s="141"/>
      <c r="I59" s="142">
        <f t="shared" si="52"/>
        <v>0</v>
      </c>
      <c r="J59" s="141"/>
      <c r="K59" s="141"/>
      <c r="L59" s="141"/>
      <c r="M59" s="141"/>
      <c r="N59" s="143">
        <f t="shared" si="53"/>
        <v>0</v>
      </c>
      <c r="O59" s="144">
        <f t="shared" si="92"/>
        <v>0</v>
      </c>
      <c r="P59" s="141"/>
      <c r="Q59" s="141"/>
      <c r="R59" s="141"/>
      <c r="S59" s="142">
        <f t="shared" si="55"/>
        <v>0</v>
      </c>
      <c r="T59" s="145">
        <f t="shared" si="56"/>
        <v>0</v>
      </c>
      <c r="U59" s="141"/>
      <c r="V59" s="141"/>
      <c r="W59" s="141"/>
      <c r="X59" s="143">
        <f t="shared" si="57"/>
        <v>0</v>
      </c>
      <c r="Y59" s="144">
        <f>S59</f>
        <v>0</v>
      </c>
      <c r="Z59" s="141"/>
      <c r="AA59" s="141"/>
      <c r="AB59" s="141"/>
      <c r="AC59" s="142">
        <f t="shared" si="59"/>
        <v>0</v>
      </c>
      <c r="AD59" s="145">
        <f>X59</f>
        <v>0</v>
      </c>
      <c r="AE59" s="141"/>
      <c r="AF59" s="141"/>
      <c r="AG59" s="141"/>
      <c r="AH59" s="143">
        <f t="shared" si="61"/>
        <v>0</v>
      </c>
      <c r="AI59" s="144">
        <f>AC59</f>
        <v>0</v>
      </c>
      <c r="AJ59" s="141"/>
      <c r="AK59" s="141"/>
      <c r="AL59" s="141"/>
      <c r="AM59" s="142">
        <f t="shared" si="63"/>
        <v>0</v>
      </c>
      <c r="AN59" s="145">
        <f>AH59</f>
        <v>0</v>
      </c>
      <c r="AO59" s="141"/>
      <c r="AP59" s="141"/>
      <c r="AQ59" s="141"/>
      <c r="AR59" s="143">
        <f t="shared" si="65"/>
        <v>0</v>
      </c>
      <c r="AS59" s="144">
        <f>AM59</f>
        <v>0</v>
      </c>
      <c r="AT59" s="141"/>
      <c r="AU59" s="141"/>
      <c r="AV59" s="141"/>
      <c r="AW59" s="142">
        <f t="shared" si="67"/>
        <v>0</v>
      </c>
      <c r="AX59" s="145">
        <f>AR59</f>
        <v>0</v>
      </c>
      <c r="AY59" s="141"/>
      <c r="AZ59" s="141"/>
      <c r="BA59" s="141"/>
      <c r="BB59" s="143">
        <f t="shared" si="69"/>
        <v>0</v>
      </c>
      <c r="BC59" s="144">
        <f>AW59</f>
        <v>0</v>
      </c>
      <c r="BD59" s="141"/>
      <c r="BE59" s="141"/>
      <c r="BF59" s="141"/>
      <c r="BG59" s="142">
        <f t="shared" si="70"/>
        <v>0</v>
      </c>
      <c r="BH59" s="145">
        <f t="shared" si="71"/>
        <v>0</v>
      </c>
      <c r="BI59" s="141"/>
      <c r="BJ59" s="141"/>
      <c r="BK59" s="141"/>
      <c r="BL59" s="143">
        <f t="shared" si="72"/>
        <v>0</v>
      </c>
      <c r="BM59" s="144">
        <f>BG59</f>
        <v>0</v>
      </c>
      <c r="BN59" s="141"/>
      <c r="BO59" s="141"/>
      <c r="BP59" s="141"/>
      <c r="BQ59" s="142">
        <f t="shared" si="74"/>
        <v>0</v>
      </c>
      <c r="BR59" s="145">
        <f t="shared" si="75"/>
        <v>0</v>
      </c>
      <c r="BS59" s="141"/>
      <c r="BT59" s="141"/>
      <c r="BU59" s="141"/>
      <c r="BV59" s="143">
        <f>BR59+BS59-BT59+BU59</f>
        <v>0</v>
      </c>
      <c r="BW59" s="144">
        <f>BQ59</f>
        <v>0</v>
      </c>
      <c r="BX59" s="141"/>
      <c r="BY59" s="141"/>
      <c r="BZ59" s="141"/>
      <c r="CA59" s="141"/>
      <c r="CB59" s="141"/>
      <c r="CC59" s="141"/>
      <c r="CD59" s="142">
        <f t="shared" si="95"/>
        <v>0</v>
      </c>
      <c r="CE59" s="145">
        <f t="shared" si="96"/>
        <v>0</v>
      </c>
      <c r="CF59" s="141"/>
      <c r="CG59" s="141"/>
      <c r="CH59" s="141"/>
      <c r="CI59" s="143">
        <f>CE59+CF59-CG59+CH59</f>
        <v>0</v>
      </c>
      <c r="CJ59" s="140"/>
      <c r="CK59" s="141"/>
      <c r="CL59" s="145">
        <f t="shared" si="82"/>
        <v>0</v>
      </c>
      <c r="CM59" s="146">
        <f t="shared" si="83"/>
        <v>0</v>
      </c>
      <c r="CN59" s="147"/>
      <c r="CO59" s="141"/>
      <c r="CP59" s="137">
        <f t="shared" si="32"/>
        <v>0</v>
      </c>
      <c r="CQ59" s="148"/>
      <c r="CR59" s="137">
        <f t="shared" si="33"/>
        <v>0</v>
      </c>
    </row>
    <row r="60" spans="1:96" ht="15" thickBot="1" x14ac:dyDescent="0.25">
      <c r="A60" s="1">
        <v>30</v>
      </c>
      <c r="C60" s="9" t="s">
        <v>63</v>
      </c>
      <c r="D60" s="8">
        <v>1582</v>
      </c>
      <c r="E60" s="140"/>
      <c r="F60" s="159"/>
      <c r="G60" s="141"/>
      <c r="H60" s="141"/>
      <c r="I60" s="142">
        <f t="shared" si="52"/>
        <v>0</v>
      </c>
      <c r="J60" s="141"/>
      <c r="K60" s="141"/>
      <c r="L60" s="141"/>
      <c r="M60" s="141"/>
      <c r="N60" s="143">
        <f t="shared" si="53"/>
        <v>0</v>
      </c>
      <c r="O60" s="144">
        <f t="shared" si="92"/>
        <v>0</v>
      </c>
      <c r="P60" s="141"/>
      <c r="Q60" s="141"/>
      <c r="R60" s="141"/>
      <c r="S60" s="142">
        <f t="shared" si="55"/>
        <v>0</v>
      </c>
      <c r="T60" s="145">
        <f t="shared" si="56"/>
        <v>0</v>
      </c>
      <c r="U60" s="141"/>
      <c r="V60" s="141"/>
      <c r="W60" s="141"/>
      <c r="X60" s="143">
        <f t="shared" si="57"/>
        <v>0</v>
      </c>
      <c r="Y60" s="144">
        <f>S60</f>
        <v>0</v>
      </c>
      <c r="Z60" s="141"/>
      <c r="AA60" s="141"/>
      <c r="AB60" s="141"/>
      <c r="AC60" s="142">
        <f t="shared" si="59"/>
        <v>0</v>
      </c>
      <c r="AD60" s="145">
        <f>X60</f>
        <v>0</v>
      </c>
      <c r="AE60" s="141"/>
      <c r="AF60" s="141"/>
      <c r="AG60" s="141"/>
      <c r="AH60" s="143">
        <f t="shared" si="61"/>
        <v>0</v>
      </c>
      <c r="AI60" s="144">
        <f>AC60</f>
        <v>0</v>
      </c>
      <c r="AJ60" s="141"/>
      <c r="AK60" s="141"/>
      <c r="AL60" s="141"/>
      <c r="AM60" s="142">
        <f t="shared" si="63"/>
        <v>0</v>
      </c>
      <c r="AN60" s="145">
        <f>AH60</f>
        <v>0</v>
      </c>
      <c r="AO60" s="141"/>
      <c r="AP60" s="141"/>
      <c r="AQ60" s="141"/>
      <c r="AR60" s="143">
        <f t="shared" si="65"/>
        <v>0</v>
      </c>
      <c r="AS60" s="144">
        <f>AM60</f>
        <v>0</v>
      </c>
      <c r="AT60" s="141"/>
      <c r="AU60" s="141"/>
      <c r="AV60" s="141"/>
      <c r="AW60" s="142">
        <f t="shared" si="67"/>
        <v>0</v>
      </c>
      <c r="AX60" s="145">
        <f>AR60</f>
        <v>0</v>
      </c>
      <c r="AY60" s="141"/>
      <c r="AZ60" s="141"/>
      <c r="BA60" s="141"/>
      <c r="BB60" s="143">
        <f t="shared" si="69"/>
        <v>0</v>
      </c>
      <c r="BC60" s="144">
        <f>AW60</f>
        <v>0</v>
      </c>
      <c r="BD60" s="141"/>
      <c r="BE60" s="141"/>
      <c r="BF60" s="141"/>
      <c r="BG60" s="142">
        <f t="shared" si="70"/>
        <v>0</v>
      </c>
      <c r="BH60" s="145">
        <f t="shared" si="71"/>
        <v>0</v>
      </c>
      <c r="BI60" s="141"/>
      <c r="BJ60" s="141"/>
      <c r="BK60" s="141"/>
      <c r="BL60" s="143">
        <f t="shared" si="72"/>
        <v>0</v>
      </c>
      <c r="BM60" s="144">
        <f>BG60</f>
        <v>0</v>
      </c>
      <c r="BN60" s="141"/>
      <c r="BO60" s="141"/>
      <c r="BP60" s="141"/>
      <c r="BQ60" s="142">
        <f t="shared" si="74"/>
        <v>0</v>
      </c>
      <c r="BR60" s="145">
        <f t="shared" si="75"/>
        <v>0</v>
      </c>
      <c r="BS60" s="141"/>
      <c r="BT60" s="141"/>
      <c r="BU60" s="141"/>
      <c r="BV60" s="143">
        <f>BR60+BS60-BT60+BU60</f>
        <v>0</v>
      </c>
      <c r="BW60" s="144">
        <f>BQ60</f>
        <v>0</v>
      </c>
      <c r="BX60" s="141"/>
      <c r="BY60" s="141"/>
      <c r="BZ60" s="141"/>
      <c r="CA60" s="141"/>
      <c r="CB60" s="141"/>
      <c r="CC60" s="141"/>
      <c r="CD60" s="142">
        <f t="shared" si="95"/>
        <v>0</v>
      </c>
      <c r="CE60" s="145">
        <f t="shared" si="96"/>
        <v>0</v>
      </c>
      <c r="CF60" s="141"/>
      <c r="CG60" s="141"/>
      <c r="CH60" s="141"/>
      <c r="CI60" s="143">
        <f>CE60+CF60-CG60+CH60</f>
        <v>0</v>
      </c>
      <c r="CJ60" s="140"/>
      <c r="CK60" s="141"/>
      <c r="CL60" s="145">
        <f t="shared" si="82"/>
        <v>0</v>
      </c>
      <c r="CM60" s="146">
        <f t="shared" si="83"/>
        <v>0</v>
      </c>
      <c r="CN60" s="147"/>
      <c r="CO60" s="141"/>
      <c r="CP60" s="137">
        <f t="shared" si="32"/>
        <v>0</v>
      </c>
      <c r="CQ60" s="148"/>
      <c r="CR60" s="137">
        <f t="shared" si="33"/>
        <v>0</v>
      </c>
    </row>
    <row r="61" spans="1:96" ht="15" thickBot="1" x14ac:dyDescent="0.25">
      <c r="A61" s="1">
        <v>31</v>
      </c>
      <c r="C61" s="6" t="s">
        <v>7</v>
      </c>
      <c r="D61" s="14">
        <v>2425</v>
      </c>
      <c r="E61" s="140"/>
      <c r="F61" s="141"/>
      <c r="G61" s="141"/>
      <c r="H61" s="141"/>
      <c r="I61" s="142">
        <f t="shared" si="52"/>
        <v>0</v>
      </c>
      <c r="J61" s="141"/>
      <c r="K61" s="141"/>
      <c r="L61" s="141"/>
      <c r="M61" s="141"/>
      <c r="N61" s="143">
        <f t="shared" si="53"/>
        <v>0</v>
      </c>
      <c r="O61" s="144">
        <f t="shared" si="92"/>
        <v>0</v>
      </c>
      <c r="P61" s="141"/>
      <c r="Q61" s="141"/>
      <c r="R61" s="141"/>
      <c r="S61" s="142">
        <f t="shared" si="55"/>
        <v>0</v>
      </c>
      <c r="T61" s="145">
        <f t="shared" si="56"/>
        <v>0</v>
      </c>
      <c r="U61" s="141"/>
      <c r="V61" s="141"/>
      <c r="W61" s="141"/>
      <c r="X61" s="143">
        <f t="shared" si="57"/>
        <v>0</v>
      </c>
      <c r="Y61" s="144">
        <f>S61</f>
        <v>0</v>
      </c>
      <c r="Z61" s="141"/>
      <c r="AA61" s="141"/>
      <c r="AB61" s="141"/>
      <c r="AC61" s="142">
        <f t="shared" si="59"/>
        <v>0</v>
      </c>
      <c r="AD61" s="145">
        <f>X61</f>
        <v>0</v>
      </c>
      <c r="AE61" s="141"/>
      <c r="AF61" s="141"/>
      <c r="AG61" s="141"/>
      <c r="AH61" s="143">
        <f t="shared" si="61"/>
        <v>0</v>
      </c>
      <c r="AI61" s="144">
        <f>AC61</f>
        <v>0</v>
      </c>
      <c r="AJ61" s="141"/>
      <c r="AK61" s="141"/>
      <c r="AL61" s="141"/>
      <c r="AM61" s="142">
        <f t="shared" si="63"/>
        <v>0</v>
      </c>
      <c r="AN61" s="145">
        <f>AH61</f>
        <v>0</v>
      </c>
      <c r="AO61" s="141"/>
      <c r="AP61" s="141"/>
      <c r="AQ61" s="141"/>
      <c r="AR61" s="143">
        <f t="shared" si="65"/>
        <v>0</v>
      </c>
      <c r="AS61" s="144">
        <f>AM61</f>
        <v>0</v>
      </c>
      <c r="AT61" s="141"/>
      <c r="AU61" s="141"/>
      <c r="AV61" s="141"/>
      <c r="AW61" s="142">
        <f t="shared" si="67"/>
        <v>0</v>
      </c>
      <c r="AX61" s="145">
        <f>AR61</f>
        <v>0</v>
      </c>
      <c r="AY61" s="141"/>
      <c r="AZ61" s="141"/>
      <c r="BA61" s="141"/>
      <c r="BB61" s="143">
        <f t="shared" si="69"/>
        <v>0</v>
      </c>
      <c r="BC61" s="144">
        <f>AW61</f>
        <v>0</v>
      </c>
      <c r="BD61" s="141"/>
      <c r="BE61" s="141"/>
      <c r="BF61" s="141"/>
      <c r="BG61" s="142">
        <f t="shared" si="70"/>
        <v>0</v>
      </c>
      <c r="BH61" s="145">
        <f t="shared" si="71"/>
        <v>0</v>
      </c>
      <c r="BI61" s="141"/>
      <c r="BJ61" s="141"/>
      <c r="BK61" s="141"/>
      <c r="BL61" s="143">
        <f t="shared" si="72"/>
        <v>0</v>
      </c>
      <c r="BM61" s="144">
        <f>BG61</f>
        <v>0</v>
      </c>
      <c r="BN61" s="141"/>
      <c r="BO61" s="141"/>
      <c r="BP61" s="141"/>
      <c r="BQ61" s="142">
        <f t="shared" si="74"/>
        <v>0</v>
      </c>
      <c r="BR61" s="145">
        <f t="shared" si="75"/>
        <v>0</v>
      </c>
      <c r="BS61" s="141"/>
      <c r="BT61" s="141"/>
      <c r="BU61" s="141"/>
      <c r="BV61" s="143">
        <f>BR61+BS61-BT61+BU61</f>
        <v>0</v>
      </c>
      <c r="BW61" s="144">
        <f>BQ61</f>
        <v>0</v>
      </c>
      <c r="BX61" s="141"/>
      <c r="BY61" s="141"/>
      <c r="BZ61" s="141"/>
      <c r="CA61" s="141"/>
      <c r="CB61" s="141"/>
      <c r="CC61" s="141"/>
      <c r="CD61" s="142">
        <f t="shared" si="95"/>
        <v>0</v>
      </c>
      <c r="CE61" s="145">
        <f t="shared" si="96"/>
        <v>0</v>
      </c>
      <c r="CF61" s="141"/>
      <c r="CG61" s="141"/>
      <c r="CH61" s="141"/>
      <c r="CI61" s="143">
        <f>CE61+CF61-CG61+CH61</f>
        <v>0</v>
      </c>
      <c r="CJ61" s="140"/>
      <c r="CK61" s="141"/>
      <c r="CL61" s="145">
        <f t="shared" si="82"/>
        <v>0</v>
      </c>
      <c r="CM61" s="146">
        <f t="shared" si="83"/>
        <v>0</v>
      </c>
      <c r="CN61" s="147"/>
      <c r="CO61" s="141"/>
      <c r="CP61" s="137">
        <f t="shared" si="32"/>
        <v>0</v>
      </c>
      <c r="CQ61" s="148"/>
      <c r="CR61" s="137">
        <f t="shared" si="33"/>
        <v>0</v>
      </c>
    </row>
    <row r="62" spans="1:96" ht="14.25" x14ac:dyDescent="0.2">
      <c r="C62" s="6"/>
      <c r="D62" s="6"/>
      <c r="E62" s="149"/>
      <c r="F62" s="142"/>
      <c r="G62" s="142"/>
      <c r="H62" s="142"/>
      <c r="I62" s="142"/>
      <c r="J62" s="142"/>
      <c r="K62" s="142"/>
      <c r="L62" s="142"/>
      <c r="M62" s="142"/>
      <c r="N62" s="143"/>
      <c r="O62" s="149"/>
      <c r="P62" s="142"/>
      <c r="Q62" s="142"/>
      <c r="R62" s="142"/>
      <c r="S62" s="142"/>
      <c r="T62" s="142"/>
      <c r="U62" s="142"/>
      <c r="V62" s="142"/>
      <c r="W62" s="142"/>
      <c r="X62" s="143"/>
      <c r="Y62" s="149"/>
      <c r="Z62" s="142"/>
      <c r="AA62" s="142"/>
      <c r="AB62" s="142"/>
      <c r="AC62" s="142"/>
      <c r="AD62" s="142"/>
      <c r="AE62" s="142"/>
      <c r="AF62" s="142"/>
      <c r="AG62" s="142"/>
      <c r="AH62" s="143"/>
      <c r="AI62" s="149"/>
      <c r="AJ62" s="142"/>
      <c r="AK62" s="142"/>
      <c r="AL62" s="142"/>
      <c r="AM62" s="142"/>
      <c r="AN62" s="142"/>
      <c r="AO62" s="142"/>
      <c r="AP62" s="142"/>
      <c r="AQ62" s="142"/>
      <c r="AR62" s="143"/>
      <c r="AS62" s="149"/>
      <c r="AT62" s="142"/>
      <c r="AU62" s="142"/>
      <c r="AV62" s="142"/>
      <c r="AW62" s="142"/>
      <c r="AX62" s="142"/>
      <c r="AY62" s="142"/>
      <c r="AZ62" s="142"/>
      <c r="BA62" s="142"/>
      <c r="BB62" s="143"/>
      <c r="BC62" s="149"/>
      <c r="BD62" s="142"/>
      <c r="BE62" s="142"/>
      <c r="BF62" s="142"/>
      <c r="BG62" s="142"/>
      <c r="BH62" s="142"/>
      <c r="BI62" s="142"/>
      <c r="BJ62" s="142"/>
      <c r="BK62" s="142"/>
      <c r="BL62" s="143"/>
      <c r="BM62" s="149"/>
      <c r="BN62" s="142"/>
      <c r="BO62" s="142"/>
      <c r="BP62" s="142"/>
      <c r="BQ62" s="142"/>
      <c r="BR62" s="142"/>
      <c r="BS62" s="142"/>
      <c r="BT62" s="142"/>
      <c r="BU62" s="142"/>
      <c r="BV62" s="143"/>
      <c r="BW62" s="149"/>
      <c r="BX62" s="142"/>
      <c r="BY62" s="142"/>
      <c r="BZ62" s="142"/>
      <c r="CA62" s="142"/>
      <c r="CB62" s="142"/>
      <c r="CC62" s="142"/>
      <c r="CD62" s="142"/>
      <c r="CE62" s="142"/>
      <c r="CF62" s="142"/>
      <c r="CG62" s="142"/>
      <c r="CH62" s="142"/>
      <c r="CI62" s="143"/>
      <c r="CJ62" s="149"/>
      <c r="CK62" s="142"/>
      <c r="CL62" s="142"/>
      <c r="CM62" s="143"/>
      <c r="CN62" s="136"/>
      <c r="CO62" s="136"/>
      <c r="CP62" s="137"/>
      <c r="CQ62" s="138"/>
      <c r="CR62" s="137"/>
    </row>
    <row r="63" spans="1:96" ht="15" x14ac:dyDescent="0.25">
      <c r="C63" s="15" t="s">
        <v>34</v>
      </c>
      <c r="D63" s="6"/>
      <c r="E63" s="149">
        <f t="shared" ref="E63:K63" si="97">SUM(E41:E61)</f>
        <v>0</v>
      </c>
      <c r="F63" s="142">
        <f t="shared" si="97"/>
        <v>0</v>
      </c>
      <c r="G63" s="142">
        <f t="shared" si="97"/>
        <v>0</v>
      </c>
      <c r="H63" s="142">
        <f t="shared" si="97"/>
        <v>0</v>
      </c>
      <c r="I63" s="142">
        <f t="shared" si="97"/>
        <v>0</v>
      </c>
      <c r="J63" s="142">
        <f t="shared" si="97"/>
        <v>0</v>
      </c>
      <c r="K63" s="142">
        <f t="shared" si="97"/>
        <v>0</v>
      </c>
      <c r="L63" s="142">
        <f>SUM(L41:L61)</f>
        <v>0</v>
      </c>
      <c r="M63" s="142">
        <f>SUM(M41:M61)</f>
        <v>0</v>
      </c>
      <c r="N63" s="142">
        <f>SUM(N41:N61)</f>
        <v>0</v>
      </c>
      <c r="O63" s="149">
        <f t="shared" ref="O63:X63" si="98">SUM(O41:O61)</f>
        <v>0</v>
      </c>
      <c r="P63" s="142">
        <f t="shared" si="98"/>
        <v>0</v>
      </c>
      <c r="Q63" s="142">
        <f t="shared" si="98"/>
        <v>0</v>
      </c>
      <c r="R63" s="142">
        <f t="shared" si="98"/>
        <v>0</v>
      </c>
      <c r="S63" s="142">
        <f t="shared" si="98"/>
        <v>0</v>
      </c>
      <c r="T63" s="142">
        <f t="shared" si="98"/>
        <v>0</v>
      </c>
      <c r="U63" s="142">
        <f t="shared" si="98"/>
        <v>0</v>
      </c>
      <c r="V63" s="142">
        <f t="shared" si="98"/>
        <v>0</v>
      </c>
      <c r="W63" s="142">
        <f t="shared" si="98"/>
        <v>0</v>
      </c>
      <c r="X63" s="143">
        <f t="shared" si="98"/>
        <v>0</v>
      </c>
      <c r="Y63" s="149">
        <f t="shared" ref="Y63:BB63" si="99">SUM(Y41:Y61)</f>
        <v>0</v>
      </c>
      <c r="Z63" s="142">
        <f t="shared" si="99"/>
        <v>0</v>
      </c>
      <c r="AA63" s="142">
        <f t="shared" si="99"/>
        <v>0</v>
      </c>
      <c r="AB63" s="142">
        <f t="shared" si="99"/>
        <v>0</v>
      </c>
      <c r="AC63" s="142">
        <f t="shared" si="99"/>
        <v>0</v>
      </c>
      <c r="AD63" s="142">
        <f t="shared" si="99"/>
        <v>0</v>
      </c>
      <c r="AE63" s="142">
        <f t="shared" si="99"/>
        <v>0</v>
      </c>
      <c r="AF63" s="142">
        <f t="shared" si="99"/>
        <v>0</v>
      </c>
      <c r="AG63" s="142">
        <f t="shared" si="99"/>
        <v>0</v>
      </c>
      <c r="AH63" s="143">
        <f t="shared" si="99"/>
        <v>0</v>
      </c>
      <c r="AI63" s="149">
        <f t="shared" si="99"/>
        <v>0</v>
      </c>
      <c r="AJ63" s="142">
        <f t="shared" si="99"/>
        <v>0</v>
      </c>
      <c r="AK63" s="142">
        <f t="shared" si="99"/>
        <v>0</v>
      </c>
      <c r="AL63" s="142">
        <f t="shared" si="99"/>
        <v>317059.25</v>
      </c>
      <c r="AM63" s="142">
        <f t="shared" si="99"/>
        <v>317059.25</v>
      </c>
      <c r="AN63" s="142">
        <f t="shared" si="99"/>
        <v>0</v>
      </c>
      <c r="AO63" s="142">
        <f t="shared" si="99"/>
        <v>0</v>
      </c>
      <c r="AP63" s="142">
        <f>SUM(AP41:AP61)</f>
        <v>0</v>
      </c>
      <c r="AQ63" s="142">
        <f>SUM(AQ41:AQ61)</f>
        <v>35488.75</v>
      </c>
      <c r="AR63" s="143">
        <f t="shared" si="99"/>
        <v>35488.75</v>
      </c>
      <c r="AS63" s="149">
        <f t="shared" si="99"/>
        <v>317059.25</v>
      </c>
      <c r="AT63" s="142">
        <f t="shared" si="99"/>
        <v>87504.569999999992</v>
      </c>
      <c r="AU63" s="142">
        <f t="shared" si="99"/>
        <v>0</v>
      </c>
      <c r="AV63" s="142">
        <f t="shared" si="99"/>
        <v>0</v>
      </c>
      <c r="AW63" s="142">
        <f t="shared" si="99"/>
        <v>404563.82</v>
      </c>
      <c r="AX63" s="142">
        <f t="shared" si="99"/>
        <v>35488.75</v>
      </c>
      <c r="AY63" s="142">
        <f t="shared" si="99"/>
        <v>3879.1200000000003</v>
      </c>
      <c r="AZ63" s="142">
        <f t="shared" si="99"/>
        <v>0</v>
      </c>
      <c r="BA63" s="142">
        <f t="shared" si="99"/>
        <v>0</v>
      </c>
      <c r="BB63" s="143">
        <f t="shared" si="99"/>
        <v>39367.870000000003</v>
      </c>
      <c r="BC63" s="149">
        <f t="shared" ref="BC63:BL63" si="100">SUM(BC41:BC61)</f>
        <v>404563.82</v>
      </c>
      <c r="BD63" s="142">
        <f t="shared" si="100"/>
        <v>79448.12</v>
      </c>
      <c r="BE63" s="142">
        <f t="shared" si="100"/>
        <v>317059.25</v>
      </c>
      <c r="BF63" s="142">
        <f t="shared" si="100"/>
        <v>0</v>
      </c>
      <c r="BG63" s="142">
        <f t="shared" si="100"/>
        <v>166952.68999999997</v>
      </c>
      <c r="BH63" s="142">
        <f t="shared" si="100"/>
        <v>39367.870000000003</v>
      </c>
      <c r="BI63" s="142">
        <f t="shared" si="100"/>
        <v>1628.3</v>
      </c>
      <c r="BJ63" s="142">
        <f t="shared" si="100"/>
        <v>39677</v>
      </c>
      <c r="BK63" s="142">
        <f t="shared" si="100"/>
        <v>0</v>
      </c>
      <c r="BL63" s="143">
        <f t="shared" si="100"/>
        <v>1319.1700000000064</v>
      </c>
      <c r="BM63" s="149">
        <f t="shared" ref="BM63:BV63" si="101">SUM(BM41:BM61)</f>
        <v>166952.68999999997</v>
      </c>
      <c r="BN63" s="142">
        <f t="shared" si="101"/>
        <v>80046.710000000006</v>
      </c>
      <c r="BO63" s="142">
        <f t="shared" si="101"/>
        <v>0</v>
      </c>
      <c r="BP63" s="142">
        <f t="shared" si="101"/>
        <v>0</v>
      </c>
      <c r="BQ63" s="142">
        <f t="shared" si="101"/>
        <v>246999.39999999997</v>
      </c>
      <c r="BR63" s="142">
        <f t="shared" si="101"/>
        <v>1319.1700000000064</v>
      </c>
      <c r="BS63" s="142">
        <f t="shared" si="101"/>
        <v>3001.55</v>
      </c>
      <c r="BT63" s="142">
        <f t="shared" si="101"/>
        <v>0</v>
      </c>
      <c r="BU63" s="142">
        <f t="shared" si="101"/>
        <v>0</v>
      </c>
      <c r="BV63" s="143">
        <f t="shared" si="101"/>
        <v>4320.7200000000066</v>
      </c>
      <c r="BW63" s="149">
        <f t="shared" ref="BW63:CI63" si="102">SUM(BW41:BW61)</f>
        <v>246999.39999999997</v>
      </c>
      <c r="BX63" s="142">
        <f t="shared" si="102"/>
        <v>81924.36</v>
      </c>
      <c r="BY63" s="142">
        <f t="shared" si="102"/>
        <v>0</v>
      </c>
      <c r="BZ63" s="142">
        <f t="shared" si="102"/>
        <v>0</v>
      </c>
      <c r="CA63" s="142">
        <f t="shared" si="102"/>
        <v>0</v>
      </c>
      <c r="CB63" s="142">
        <f t="shared" si="102"/>
        <v>0</v>
      </c>
      <c r="CC63" s="142">
        <f t="shared" si="102"/>
        <v>0</v>
      </c>
      <c r="CD63" s="142">
        <f t="shared" si="102"/>
        <v>328923.75999999995</v>
      </c>
      <c r="CE63" s="142">
        <f t="shared" si="102"/>
        <v>4320.7200000000066</v>
      </c>
      <c r="CF63" s="142">
        <f t="shared" si="102"/>
        <v>4193.2199999999993</v>
      </c>
      <c r="CG63" s="142">
        <f t="shared" si="102"/>
        <v>0</v>
      </c>
      <c r="CH63" s="142">
        <f t="shared" si="102"/>
        <v>0</v>
      </c>
      <c r="CI63" s="143">
        <f t="shared" si="102"/>
        <v>8513.940000000006</v>
      </c>
      <c r="CJ63" s="149">
        <f t="shared" ref="CJ63:CQ63" si="103">SUM(CJ41:CJ61)</f>
        <v>0</v>
      </c>
      <c r="CK63" s="142">
        <f t="shared" si="103"/>
        <v>0</v>
      </c>
      <c r="CL63" s="142">
        <f t="shared" si="103"/>
        <v>328923.75999999995</v>
      </c>
      <c r="CM63" s="143">
        <f t="shared" si="103"/>
        <v>8513.940000000006</v>
      </c>
      <c r="CN63" s="142">
        <f t="shared" si="103"/>
        <v>4835.17</v>
      </c>
      <c r="CO63" s="142">
        <f t="shared" si="103"/>
        <v>1611.73</v>
      </c>
      <c r="CP63" s="137">
        <f t="shared" si="32"/>
        <v>343884.59999999992</v>
      </c>
      <c r="CQ63" s="150">
        <f t="shared" si="103"/>
        <v>337437.7</v>
      </c>
      <c r="CR63" s="137">
        <f t="shared" si="33"/>
        <v>0</v>
      </c>
    </row>
    <row r="64" spans="1:96" ht="15" thickBot="1" x14ac:dyDescent="0.25">
      <c r="C64" s="6"/>
      <c r="D64" s="6"/>
      <c r="E64" s="149"/>
      <c r="F64" s="142"/>
      <c r="G64" s="142"/>
      <c r="H64" s="142"/>
      <c r="I64" s="142"/>
      <c r="J64" s="142"/>
      <c r="K64" s="142"/>
      <c r="L64" s="142"/>
      <c r="M64" s="142"/>
      <c r="N64" s="143"/>
      <c r="O64" s="149"/>
      <c r="P64" s="142"/>
      <c r="Q64" s="142"/>
      <c r="R64" s="142"/>
      <c r="S64" s="142"/>
      <c r="T64" s="142"/>
      <c r="U64" s="142"/>
      <c r="V64" s="142"/>
      <c r="W64" s="142"/>
      <c r="X64" s="143"/>
      <c r="Y64" s="149"/>
      <c r="Z64" s="142"/>
      <c r="AA64" s="142"/>
      <c r="AB64" s="142"/>
      <c r="AC64" s="142"/>
      <c r="AD64" s="142"/>
      <c r="AE64" s="142"/>
      <c r="AF64" s="142"/>
      <c r="AG64" s="142"/>
      <c r="AH64" s="143"/>
      <c r="AI64" s="149"/>
      <c r="AJ64" s="142"/>
      <c r="AK64" s="142"/>
      <c r="AL64" s="142"/>
      <c r="AM64" s="142"/>
      <c r="AN64" s="142"/>
      <c r="AO64" s="142"/>
      <c r="AP64" s="142"/>
      <c r="AQ64" s="142"/>
      <c r="AR64" s="143"/>
      <c r="AS64" s="149"/>
      <c r="AT64" s="142"/>
      <c r="AU64" s="142"/>
      <c r="AV64" s="142"/>
      <c r="AW64" s="142"/>
      <c r="AX64" s="142"/>
      <c r="AY64" s="142"/>
      <c r="AZ64" s="142"/>
      <c r="BA64" s="142"/>
      <c r="BB64" s="143"/>
      <c r="BC64" s="149"/>
      <c r="BD64" s="142"/>
      <c r="BE64" s="142"/>
      <c r="BF64" s="142"/>
      <c r="BG64" s="142"/>
      <c r="BH64" s="142"/>
      <c r="BI64" s="142"/>
      <c r="BJ64" s="142"/>
      <c r="BK64" s="142"/>
      <c r="BL64" s="143"/>
      <c r="BM64" s="149"/>
      <c r="BN64" s="142"/>
      <c r="BO64" s="142"/>
      <c r="BP64" s="142"/>
      <c r="BQ64" s="142"/>
      <c r="BR64" s="142"/>
      <c r="BS64" s="142"/>
      <c r="BT64" s="142"/>
      <c r="BU64" s="142"/>
      <c r="BV64" s="143"/>
      <c r="BW64" s="149"/>
      <c r="BX64" s="142"/>
      <c r="BY64" s="142"/>
      <c r="BZ64" s="142"/>
      <c r="CA64" s="142"/>
      <c r="CB64" s="142"/>
      <c r="CC64" s="142"/>
      <c r="CD64" s="142"/>
      <c r="CE64" s="142"/>
      <c r="CF64" s="142"/>
      <c r="CG64" s="142"/>
      <c r="CH64" s="142"/>
      <c r="CI64" s="143"/>
      <c r="CJ64" s="149"/>
      <c r="CK64" s="142"/>
      <c r="CL64" s="142"/>
      <c r="CM64" s="143"/>
      <c r="CN64" s="136"/>
      <c r="CO64" s="136"/>
      <c r="CP64" s="137"/>
      <c r="CQ64" s="138"/>
      <c r="CR64" s="137"/>
    </row>
    <row r="65" spans="1:96" ht="15" thickBot="1" x14ac:dyDescent="0.25">
      <c r="A65" s="1">
        <v>32</v>
      </c>
      <c r="C65" s="6" t="s">
        <v>16</v>
      </c>
      <c r="D65" s="8">
        <v>1562</v>
      </c>
      <c r="E65" s="140"/>
      <c r="F65" s="159"/>
      <c r="G65" s="141"/>
      <c r="H65" s="141"/>
      <c r="I65" s="142">
        <f>E65+F65-G65+H65</f>
        <v>0</v>
      </c>
      <c r="J65" s="141"/>
      <c r="K65" s="141"/>
      <c r="L65" s="141"/>
      <c r="M65" s="141"/>
      <c r="N65" s="143">
        <f>J65+K65-L65+M65</f>
        <v>0</v>
      </c>
      <c r="O65" s="144">
        <f>I65</f>
        <v>0</v>
      </c>
      <c r="P65" s="141"/>
      <c r="Q65" s="141"/>
      <c r="R65" s="141"/>
      <c r="S65" s="142">
        <f>O65+P65-Q65+R65</f>
        <v>0</v>
      </c>
      <c r="T65" s="145">
        <f>N65</f>
        <v>0</v>
      </c>
      <c r="U65" s="141"/>
      <c r="V65" s="141"/>
      <c r="W65" s="141"/>
      <c r="X65" s="143">
        <f>T65+U65-V65+W65</f>
        <v>0</v>
      </c>
      <c r="Y65" s="144">
        <f>S65</f>
        <v>0</v>
      </c>
      <c r="Z65" s="141"/>
      <c r="AA65" s="141"/>
      <c r="AB65" s="141"/>
      <c r="AC65" s="142">
        <f>Y65+Z65-AA65+AB65</f>
        <v>0</v>
      </c>
      <c r="AD65" s="145">
        <f>X65</f>
        <v>0</v>
      </c>
      <c r="AE65" s="141"/>
      <c r="AF65" s="141"/>
      <c r="AG65" s="141"/>
      <c r="AH65" s="143">
        <f>AD65+AE65-AF65+AG65</f>
        <v>0</v>
      </c>
      <c r="AI65" s="144">
        <f>AC65</f>
        <v>0</v>
      </c>
      <c r="AJ65" s="141"/>
      <c r="AK65" s="141"/>
      <c r="AL65" s="141"/>
      <c r="AM65" s="142">
        <f>AI65+AJ65-AK65+AL65</f>
        <v>0</v>
      </c>
      <c r="AN65" s="145">
        <f>AH65</f>
        <v>0</v>
      </c>
      <c r="AO65" s="141"/>
      <c r="AP65" s="141"/>
      <c r="AQ65" s="141"/>
      <c r="AR65" s="143">
        <f>AN65+AO65-AP65+AQ65</f>
        <v>0</v>
      </c>
      <c r="AS65" s="144">
        <f>AM65</f>
        <v>0</v>
      </c>
      <c r="AT65" s="141"/>
      <c r="AU65" s="141"/>
      <c r="AV65" s="141"/>
      <c r="AW65" s="142">
        <f>AS65+AT65-AU65+AV65</f>
        <v>0</v>
      </c>
      <c r="AX65" s="145">
        <f>AR65</f>
        <v>0</v>
      </c>
      <c r="AY65" s="141"/>
      <c r="AZ65" s="141"/>
      <c r="BA65" s="141"/>
      <c r="BB65" s="143">
        <f>AX65+AY65-AZ65+BA65</f>
        <v>0</v>
      </c>
      <c r="BC65" s="144">
        <f>AW65</f>
        <v>0</v>
      </c>
      <c r="BD65" s="141"/>
      <c r="BE65" s="141"/>
      <c r="BF65" s="141"/>
      <c r="BG65" s="142">
        <f>BC65+BD65-BE65+SUM(BF65:BF65)</f>
        <v>0</v>
      </c>
      <c r="BH65" s="145">
        <f>BB65</f>
        <v>0</v>
      </c>
      <c r="BI65" s="141"/>
      <c r="BJ65" s="141"/>
      <c r="BK65" s="141"/>
      <c r="BL65" s="143">
        <f>BH65+BI65-BJ65+BK65</f>
        <v>0</v>
      </c>
      <c r="BM65" s="144">
        <f>BG65</f>
        <v>0</v>
      </c>
      <c r="BN65" s="141"/>
      <c r="BO65" s="141"/>
      <c r="BP65" s="141"/>
      <c r="BQ65" s="142">
        <f>BM65+BN65-BO65+SUM(BP65:BP65)</f>
        <v>0</v>
      </c>
      <c r="BR65" s="145">
        <f>BL65</f>
        <v>0</v>
      </c>
      <c r="BS65" s="141"/>
      <c r="BT65" s="141"/>
      <c r="BU65" s="141"/>
      <c r="BV65" s="143">
        <f>BR65+BS65-BT65+BU65</f>
        <v>0</v>
      </c>
      <c r="BW65" s="144">
        <f>BQ65</f>
        <v>0</v>
      </c>
      <c r="BX65" s="141"/>
      <c r="BY65" s="141"/>
      <c r="BZ65" s="141"/>
      <c r="CA65" s="141"/>
      <c r="CB65" s="141"/>
      <c r="CC65" s="141"/>
      <c r="CD65" s="142">
        <f>BW65+BX65-BY65+SUM(BZ65:CC65)</f>
        <v>0</v>
      </c>
      <c r="CE65" s="145">
        <f>BV65</f>
        <v>0</v>
      </c>
      <c r="CF65" s="141"/>
      <c r="CG65" s="141"/>
      <c r="CH65" s="141"/>
      <c r="CI65" s="143">
        <f>CE65+CF65-CG65+CH65</f>
        <v>0</v>
      </c>
      <c r="CJ65" s="140"/>
      <c r="CK65" s="141"/>
      <c r="CL65" s="145">
        <f t="shared" ref="CL65" si="104">CD65-CJ65</f>
        <v>0</v>
      </c>
      <c r="CM65" s="146">
        <f t="shared" ref="CM65" si="105">CI65-CK65</f>
        <v>0</v>
      </c>
      <c r="CN65" s="147"/>
      <c r="CO65" s="141"/>
      <c r="CP65" s="137">
        <f t="shared" si="32"/>
        <v>0</v>
      </c>
      <c r="CQ65" s="148"/>
      <c r="CR65" s="137">
        <f t="shared" si="33"/>
        <v>0</v>
      </c>
    </row>
    <row r="66" spans="1:96" ht="29.25" thickBot="1" x14ac:dyDescent="0.25">
      <c r="A66" s="1">
        <v>33</v>
      </c>
      <c r="C66" s="30" t="s">
        <v>71</v>
      </c>
      <c r="D66" s="31">
        <v>1592</v>
      </c>
      <c r="E66" s="140"/>
      <c r="F66" s="141"/>
      <c r="G66" s="141"/>
      <c r="H66" s="141"/>
      <c r="I66" s="142">
        <f>E66+F66-G66+H66</f>
        <v>0</v>
      </c>
      <c r="J66" s="141"/>
      <c r="K66" s="141"/>
      <c r="L66" s="141"/>
      <c r="M66" s="141"/>
      <c r="N66" s="143">
        <f>J66+K66-L66+M66</f>
        <v>0</v>
      </c>
      <c r="O66" s="144">
        <f>I66</f>
        <v>0</v>
      </c>
      <c r="P66" s="141"/>
      <c r="Q66" s="141"/>
      <c r="R66" s="141"/>
      <c r="S66" s="142">
        <f>O66+P66-Q66+R66</f>
        <v>0</v>
      </c>
      <c r="T66" s="145">
        <f>N66</f>
        <v>0</v>
      </c>
      <c r="U66" s="141"/>
      <c r="V66" s="141"/>
      <c r="W66" s="141"/>
      <c r="X66" s="143">
        <f>T66+U66-V66+W66</f>
        <v>0</v>
      </c>
      <c r="Y66" s="144">
        <f>S66</f>
        <v>0</v>
      </c>
      <c r="Z66" s="141"/>
      <c r="AA66" s="141"/>
      <c r="AB66" s="141"/>
      <c r="AC66" s="142">
        <f>Y66+Z66-AA66+AB66</f>
        <v>0</v>
      </c>
      <c r="AD66" s="145">
        <f>X66</f>
        <v>0</v>
      </c>
      <c r="AE66" s="141"/>
      <c r="AF66" s="141"/>
      <c r="AG66" s="141"/>
      <c r="AH66" s="143">
        <f>AD66+AE66-AF66+AG66</f>
        <v>0</v>
      </c>
      <c r="AI66" s="144">
        <f>AC66</f>
        <v>0</v>
      </c>
      <c r="AJ66" s="141"/>
      <c r="AK66" s="141"/>
      <c r="AL66" s="141"/>
      <c r="AM66" s="142">
        <f>AI66+AJ66-AK66+AL66</f>
        <v>0</v>
      </c>
      <c r="AN66" s="145">
        <f>AH66</f>
        <v>0</v>
      </c>
      <c r="AO66" s="141"/>
      <c r="AP66" s="141"/>
      <c r="AQ66" s="141"/>
      <c r="AR66" s="143">
        <f>AN66+AO66-AP66+AQ66</f>
        <v>0</v>
      </c>
      <c r="AS66" s="144">
        <f>AM66</f>
        <v>0</v>
      </c>
      <c r="AT66" s="141"/>
      <c r="AU66" s="141"/>
      <c r="AV66" s="141"/>
      <c r="AW66" s="142">
        <f>AS66+AT66-AU66+AV66</f>
        <v>0</v>
      </c>
      <c r="AX66" s="145">
        <f>AR66</f>
        <v>0</v>
      </c>
      <c r="AY66" s="141"/>
      <c r="AZ66" s="141"/>
      <c r="BA66" s="141"/>
      <c r="BB66" s="143">
        <f>AX66+AY66-AZ66+BA66</f>
        <v>0</v>
      </c>
      <c r="BC66" s="144">
        <f>AW66</f>
        <v>0</v>
      </c>
      <c r="BD66" s="141"/>
      <c r="BE66" s="141"/>
      <c r="BF66" s="141"/>
      <c r="BG66" s="142">
        <f>BC66+BD66-BE66+SUM(BF66:BF66)</f>
        <v>0</v>
      </c>
      <c r="BH66" s="145">
        <f>BB66</f>
        <v>0</v>
      </c>
      <c r="BI66" s="141"/>
      <c r="BJ66" s="141"/>
      <c r="BK66" s="141"/>
      <c r="BL66" s="143">
        <f>BH66+BI66-BJ66+BK66</f>
        <v>0</v>
      </c>
      <c r="BM66" s="144">
        <f>BG66</f>
        <v>0</v>
      </c>
      <c r="BN66" s="141"/>
      <c r="BO66" s="141"/>
      <c r="BP66" s="141"/>
      <c r="BQ66" s="142">
        <f>BM66+BN66-BO66+SUM(BP66:BP66)</f>
        <v>0</v>
      </c>
      <c r="BR66" s="145">
        <f>BL66</f>
        <v>0</v>
      </c>
      <c r="BS66" s="141"/>
      <c r="BT66" s="141"/>
      <c r="BU66" s="141"/>
      <c r="BV66" s="143">
        <f>BR66+BS66-BT66+BU66</f>
        <v>0</v>
      </c>
      <c r="BW66" s="144">
        <f>BQ66</f>
        <v>0</v>
      </c>
      <c r="BX66" s="141"/>
      <c r="BY66" s="141"/>
      <c r="BZ66" s="141"/>
      <c r="CA66" s="141"/>
      <c r="CB66" s="141"/>
      <c r="CC66" s="141"/>
      <c r="CD66" s="142">
        <f>BW66+BX66-BY66+SUM(BZ66:CC66)</f>
        <v>0</v>
      </c>
      <c r="CE66" s="145">
        <f>BV66</f>
        <v>0</v>
      </c>
      <c r="CF66" s="141"/>
      <c r="CG66" s="141"/>
      <c r="CH66" s="141"/>
      <c r="CI66" s="143">
        <f>CE66+CF66-CG66+CH66</f>
        <v>0</v>
      </c>
      <c r="CJ66" s="140"/>
      <c r="CK66" s="141"/>
      <c r="CL66" s="145">
        <f t="shared" ref="CL66:CL67" si="106">CD66-CJ66</f>
        <v>0</v>
      </c>
      <c r="CM66" s="146">
        <f t="shared" ref="CM66:CM67" si="107">CI66-CK66</f>
        <v>0</v>
      </c>
      <c r="CN66" s="147"/>
      <c r="CO66" s="141"/>
      <c r="CP66" s="137">
        <f t="shared" si="32"/>
        <v>0</v>
      </c>
      <c r="CQ66" s="148"/>
      <c r="CR66" s="137">
        <f t="shared" si="33"/>
        <v>0</v>
      </c>
    </row>
    <row r="67" spans="1:96" ht="29.25" thickBot="1" x14ac:dyDescent="0.25">
      <c r="A67" s="1">
        <v>34</v>
      </c>
      <c r="C67" s="30" t="s">
        <v>70</v>
      </c>
      <c r="D67" s="31">
        <v>1592</v>
      </c>
      <c r="E67" s="140"/>
      <c r="F67" s="141"/>
      <c r="G67" s="141"/>
      <c r="H67" s="141"/>
      <c r="I67" s="142">
        <f>E67+F67-G67+H67</f>
        <v>0</v>
      </c>
      <c r="J67" s="141"/>
      <c r="K67" s="141"/>
      <c r="L67" s="141"/>
      <c r="M67" s="141"/>
      <c r="N67" s="143">
        <f>J67+K67-L67+M67</f>
        <v>0</v>
      </c>
      <c r="O67" s="144">
        <f>I67</f>
        <v>0</v>
      </c>
      <c r="P67" s="141"/>
      <c r="Q67" s="141"/>
      <c r="R67" s="141"/>
      <c r="S67" s="142">
        <f>O67+P67-Q67+R67</f>
        <v>0</v>
      </c>
      <c r="T67" s="145">
        <f>N67</f>
        <v>0</v>
      </c>
      <c r="U67" s="141"/>
      <c r="V67" s="141"/>
      <c r="W67" s="141"/>
      <c r="X67" s="143">
        <f>T67+U67-V67+W67</f>
        <v>0</v>
      </c>
      <c r="Y67" s="144">
        <f>S67</f>
        <v>0</v>
      </c>
      <c r="Z67" s="141"/>
      <c r="AA67" s="141"/>
      <c r="AB67" s="141"/>
      <c r="AC67" s="142">
        <f>Y67+Z67-AA67+AB67</f>
        <v>0</v>
      </c>
      <c r="AD67" s="145">
        <f>X67</f>
        <v>0</v>
      </c>
      <c r="AE67" s="141"/>
      <c r="AF67" s="141"/>
      <c r="AG67" s="141"/>
      <c r="AH67" s="143">
        <f>AD67+AE67-AF67+AG67</f>
        <v>0</v>
      </c>
      <c r="AI67" s="144">
        <f>AC67</f>
        <v>0</v>
      </c>
      <c r="AJ67" s="141"/>
      <c r="AK67" s="141"/>
      <c r="AL67" s="141"/>
      <c r="AM67" s="142">
        <f>AI67+AJ67-AK67+AL67</f>
        <v>0</v>
      </c>
      <c r="AN67" s="145">
        <f>AH67</f>
        <v>0</v>
      </c>
      <c r="AO67" s="141"/>
      <c r="AP67" s="141"/>
      <c r="AQ67" s="141"/>
      <c r="AR67" s="143">
        <f>AN67+AO67-AP67+AQ67</f>
        <v>0</v>
      </c>
      <c r="AS67" s="144">
        <f>AM67</f>
        <v>0</v>
      </c>
      <c r="AT67" s="141"/>
      <c r="AU67" s="141"/>
      <c r="AV67" s="141"/>
      <c r="AW67" s="142">
        <f>AS67+AT67-AU67+AV67</f>
        <v>0</v>
      </c>
      <c r="AX67" s="145">
        <f>AR67</f>
        <v>0</v>
      </c>
      <c r="AY67" s="141"/>
      <c r="AZ67" s="141"/>
      <c r="BA67" s="141"/>
      <c r="BB67" s="143">
        <f>AX67+AY67-AZ67+BA67</f>
        <v>0</v>
      </c>
      <c r="BC67" s="144">
        <f>AW67</f>
        <v>0</v>
      </c>
      <c r="BD67" s="141">
        <f>-22307.69*0.5</f>
        <v>-11153.844999999999</v>
      </c>
      <c r="BE67" s="141"/>
      <c r="BF67" s="141"/>
      <c r="BG67" s="142">
        <f>BC67+BD67-BE67+SUM(BF67:BF67)</f>
        <v>-11153.844999999999</v>
      </c>
      <c r="BH67" s="145">
        <f>BB67</f>
        <v>0</v>
      </c>
      <c r="BI67" s="141"/>
      <c r="BJ67" s="141"/>
      <c r="BK67" s="141"/>
      <c r="BL67" s="143">
        <f>BH67+BI67-BJ67+BK67</f>
        <v>0</v>
      </c>
      <c r="BM67" s="144">
        <f>BG67</f>
        <v>-11153.844999999999</v>
      </c>
      <c r="BN67" s="141">
        <f>-47166.63*0.5</f>
        <v>-23583.314999999999</v>
      </c>
      <c r="BO67" s="141"/>
      <c r="BP67" s="141"/>
      <c r="BQ67" s="142">
        <f>BM67+BN67-BO67+SUM(BP67:BP67)</f>
        <v>-34737.159999999996</v>
      </c>
      <c r="BR67" s="145">
        <f>BL67</f>
        <v>0</v>
      </c>
      <c r="BS67" s="141"/>
      <c r="BT67" s="141"/>
      <c r="BU67" s="141"/>
      <c r="BV67" s="143">
        <f>BR67+BS67-BT67+BU67</f>
        <v>0</v>
      </c>
      <c r="BW67" s="144">
        <f>BQ67</f>
        <v>-34737.159999999996</v>
      </c>
      <c r="BX67" s="141">
        <f>-39746.21*0.5</f>
        <v>-19873.105</v>
      </c>
      <c r="BY67" s="141"/>
      <c r="BZ67" s="141"/>
      <c r="CA67" s="141"/>
      <c r="CB67" s="141"/>
      <c r="CC67" s="141">
        <f>(-40119.19-(3672.36*4)-137983.13)*0.5</f>
        <v>-96395.88</v>
      </c>
      <c r="CD67" s="142">
        <f>BW67+BX67-BY67+SUM(BZ67:CC67)</f>
        <v>-151006.14500000002</v>
      </c>
      <c r="CE67" s="145">
        <f>BV67</f>
        <v>0</v>
      </c>
      <c r="CF67" s="141"/>
      <c r="CG67" s="141"/>
      <c r="CH67" s="141">
        <f>-3069.64*0.5</f>
        <v>-1534.82</v>
      </c>
      <c r="CI67" s="143">
        <f>CE67+CF67-CG67+CH67</f>
        <v>-1534.82</v>
      </c>
      <c r="CJ67" s="140"/>
      <c r="CK67" s="141"/>
      <c r="CL67" s="145">
        <f t="shared" si="106"/>
        <v>-151006.14500000002</v>
      </c>
      <c r="CM67" s="146">
        <f t="shared" si="107"/>
        <v>-1534.82</v>
      </c>
      <c r="CN67" s="147">
        <f>-3292.24*0.5</f>
        <v>-1646.12</v>
      </c>
      <c r="CO67" s="141">
        <f>-1385.14*0.5</f>
        <v>-692.57</v>
      </c>
      <c r="CP67" s="137">
        <f t="shared" si="32"/>
        <v>-154879.65500000003</v>
      </c>
      <c r="CQ67" s="148">
        <v>0</v>
      </c>
      <c r="CR67" s="137">
        <f t="shared" si="33"/>
        <v>152540.96500000003</v>
      </c>
    </row>
    <row r="68" spans="1:96" ht="14.25" x14ac:dyDescent="0.2">
      <c r="C68" s="6"/>
      <c r="D68" s="6"/>
      <c r="E68" s="149"/>
      <c r="F68" s="142"/>
      <c r="G68" s="142"/>
      <c r="H68" s="142"/>
      <c r="I68" s="142"/>
      <c r="J68" s="142"/>
      <c r="K68" s="142"/>
      <c r="L68" s="142"/>
      <c r="M68" s="142"/>
      <c r="N68" s="143"/>
      <c r="O68" s="149"/>
      <c r="P68" s="142"/>
      <c r="Q68" s="142"/>
      <c r="R68" s="142"/>
      <c r="S68" s="142"/>
      <c r="T68" s="142"/>
      <c r="U68" s="142"/>
      <c r="V68" s="142"/>
      <c r="W68" s="142"/>
      <c r="X68" s="143"/>
      <c r="Y68" s="149"/>
      <c r="Z68" s="142"/>
      <c r="AA68" s="142"/>
      <c r="AB68" s="142"/>
      <c r="AC68" s="142"/>
      <c r="AD68" s="142"/>
      <c r="AE68" s="142"/>
      <c r="AF68" s="142"/>
      <c r="AG68" s="142"/>
      <c r="AH68" s="143"/>
      <c r="AI68" s="149"/>
      <c r="AJ68" s="142"/>
      <c r="AK68" s="142"/>
      <c r="AL68" s="142"/>
      <c r="AM68" s="142"/>
      <c r="AN68" s="142"/>
      <c r="AO68" s="142"/>
      <c r="AP68" s="142"/>
      <c r="AQ68" s="142"/>
      <c r="AR68" s="143"/>
      <c r="AS68" s="149"/>
      <c r="AT68" s="142"/>
      <c r="AU68" s="142"/>
      <c r="AV68" s="142"/>
      <c r="AW68" s="142"/>
      <c r="AX68" s="142"/>
      <c r="AY68" s="142"/>
      <c r="AZ68" s="142"/>
      <c r="BA68" s="142"/>
      <c r="BB68" s="143"/>
      <c r="BC68" s="149"/>
      <c r="BD68" s="142"/>
      <c r="BE68" s="142"/>
      <c r="BF68" s="142"/>
      <c r="BG68" s="142"/>
      <c r="BH68" s="142"/>
      <c r="BI68" s="142"/>
      <c r="BJ68" s="142"/>
      <c r="BK68" s="142"/>
      <c r="BL68" s="143"/>
      <c r="BM68" s="149"/>
      <c r="BN68" s="142"/>
      <c r="BO68" s="142"/>
      <c r="BP68" s="142"/>
      <c r="BQ68" s="142"/>
      <c r="BR68" s="142"/>
      <c r="BS68" s="142"/>
      <c r="BT68" s="142"/>
      <c r="BU68" s="142"/>
      <c r="BV68" s="143"/>
      <c r="BW68" s="149"/>
      <c r="BX68" s="142"/>
      <c r="BY68" s="142"/>
      <c r="BZ68" s="142"/>
      <c r="CA68" s="142"/>
      <c r="CB68" s="142"/>
      <c r="CC68" s="142"/>
      <c r="CD68" s="142"/>
      <c r="CE68" s="142"/>
      <c r="CF68" s="142"/>
      <c r="CG68" s="142"/>
      <c r="CH68" s="142"/>
      <c r="CI68" s="143"/>
      <c r="CJ68" s="149"/>
      <c r="CK68" s="142"/>
      <c r="CL68" s="142"/>
      <c r="CM68" s="143"/>
      <c r="CN68" s="136"/>
      <c r="CO68" s="136"/>
      <c r="CP68" s="137"/>
      <c r="CQ68" s="138"/>
      <c r="CR68" s="137"/>
    </row>
    <row r="69" spans="1:96" ht="15" x14ac:dyDescent="0.25">
      <c r="C69" s="15" t="s">
        <v>59</v>
      </c>
      <c r="D69" s="6"/>
      <c r="E69" s="149">
        <f>+E63+E36+E65+E66+E67</f>
        <v>0</v>
      </c>
      <c r="F69" s="142">
        <f t="shared" ref="F69:BP69" si="108">+F63+F36+F65+F66+F67</f>
        <v>0</v>
      </c>
      <c r="G69" s="142">
        <f t="shared" si="108"/>
        <v>0</v>
      </c>
      <c r="H69" s="142">
        <f t="shared" si="108"/>
        <v>0</v>
      </c>
      <c r="I69" s="142">
        <f t="shared" si="108"/>
        <v>0</v>
      </c>
      <c r="J69" s="142">
        <f t="shared" si="108"/>
        <v>0</v>
      </c>
      <c r="K69" s="142">
        <f t="shared" si="108"/>
        <v>0</v>
      </c>
      <c r="L69" s="142">
        <f t="shared" si="108"/>
        <v>0</v>
      </c>
      <c r="M69" s="142">
        <f t="shared" si="108"/>
        <v>0</v>
      </c>
      <c r="N69" s="143">
        <f t="shared" si="108"/>
        <v>0</v>
      </c>
      <c r="O69" s="149">
        <f t="shared" si="108"/>
        <v>0</v>
      </c>
      <c r="P69" s="142">
        <f t="shared" si="108"/>
        <v>0</v>
      </c>
      <c r="Q69" s="142">
        <f t="shared" si="108"/>
        <v>0</v>
      </c>
      <c r="R69" s="142">
        <f t="shared" si="108"/>
        <v>0</v>
      </c>
      <c r="S69" s="142">
        <f t="shared" si="108"/>
        <v>0</v>
      </c>
      <c r="T69" s="142">
        <f t="shared" si="108"/>
        <v>0</v>
      </c>
      <c r="U69" s="142">
        <f t="shared" si="108"/>
        <v>0</v>
      </c>
      <c r="V69" s="142">
        <f t="shared" si="108"/>
        <v>0</v>
      </c>
      <c r="W69" s="142">
        <f t="shared" si="108"/>
        <v>0</v>
      </c>
      <c r="X69" s="143">
        <f t="shared" si="108"/>
        <v>0</v>
      </c>
      <c r="Y69" s="149">
        <f t="shared" si="108"/>
        <v>0</v>
      </c>
      <c r="Z69" s="142">
        <f t="shared" si="108"/>
        <v>0</v>
      </c>
      <c r="AA69" s="142">
        <f t="shared" si="108"/>
        <v>0</v>
      </c>
      <c r="AB69" s="142">
        <f t="shared" si="108"/>
        <v>0</v>
      </c>
      <c r="AC69" s="142">
        <f t="shared" si="108"/>
        <v>0</v>
      </c>
      <c r="AD69" s="142">
        <f t="shared" si="108"/>
        <v>0</v>
      </c>
      <c r="AE69" s="142">
        <f t="shared" si="108"/>
        <v>0</v>
      </c>
      <c r="AF69" s="142">
        <f t="shared" si="108"/>
        <v>0</v>
      </c>
      <c r="AG69" s="142">
        <f t="shared" si="108"/>
        <v>0</v>
      </c>
      <c r="AH69" s="143">
        <f t="shared" si="108"/>
        <v>0</v>
      </c>
      <c r="AI69" s="149">
        <f t="shared" si="108"/>
        <v>0</v>
      </c>
      <c r="AJ69" s="142">
        <f t="shared" si="108"/>
        <v>0</v>
      </c>
      <c r="AK69" s="142">
        <f t="shared" si="108"/>
        <v>0</v>
      </c>
      <c r="AL69" s="142">
        <f t="shared" si="108"/>
        <v>317059.25</v>
      </c>
      <c r="AM69" s="142">
        <f t="shared" si="108"/>
        <v>317059.25</v>
      </c>
      <c r="AN69" s="142">
        <f t="shared" si="108"/>
        <v>0</v>
      </c>
      <c r="AO69" s="142">
        <f t="shared" si="108"/>
        <v>0</v>
      </c>
      <c r="AP69" s="142">
        <f t="shared" si="108"/>
        <v>0</v>
      </c>
      <c r="AQ69" s="142">
        <f t="shared" si="108"/>
        <v>35488.75</v>
      </c>
      <c r="AR69" s="143">
        <f t="shared" si="108"/>
        <v>35488.75</v>
      </c>
      <c r="AS69" s="149">
        <f t="shared" si="108"/>
        <v>317059.25</v>
      </c>
      <c r="AT69" s="142">
        <f t="shared" si="108"/>
        <v>87504.569999999992</v>
      </c>
      <c r="AU69" s="142">
        <f t="shared" si="108"/>
        <v>0</v>
      </c>
      <c r="AV69" s="142">
        <f t="shared" si="108"/>
        <v>0</v>
      </c>
      <c r="AW69" s="142">
        <f t="shared" si="108"/>
        <v>404563.82</v>
      </c>
      <c r="AX69" s="142">
        <f t="shared" si="108"/>
        <v>35488.75</v>
      </c>
      <c r="AY69" s="142">
        <f t="shared" si="108"/>
        <v>3879.1200000000003</v>
      </c>
      <c r="AZ69" s="142">
        <f t="shared" si="108"/>
        <v>0</v>
      </c>
      <c r="BA69" s="142">
        <f t="shared" si="108"/>
        <v>0</v>
      </c>
      <c r="BB69" s="143">
        <f t="shared" si="108"/>
        <v>39367.870000000003</v>
      </c>
      <c r="BC69" s="149">
        <f t="shared" si="108"/>
        <v>404563.82</v>
      </c>
      <c r="BD69" s="142">
        <f t="shared" si="108"/>
        <v>68294.274999999994</v>
      </c>
      <c r="BE69" s="142">
        <f t="shared" si="108"/>
        <v>317059.25</v>
      </c>
      <c r="BF69" s="142">
        <f t="shared" si="108"/>
        <v>0</v>
      </c>
      <c r="BG69" s="142">
        <f t="shared" si="108"/>
        <v>155798.84499999997</v>
      </c>
      <c r="BH69" s="142">
        <f t="shared" si="108"/>
        <v>39367.870000000003</v>
      </c>
      <c r="BI69" s="142">
        <f t="shared" si="108"/>
        <v>1628.3</v>
      </c>
      <c r="BJ69" s="142">
        <f t="shared" si="108"/>
        <v>39677</v>
      </c>
      <c r="BK69" s="142">
        <f t="shared" si="108"/>
        <v>0</v>
      </c>
      <c r="BL69" s="143">
        <f t="shared" si="108"/>
        <v>1319.1700000000064</v>
      </c>
      <c r="BM69" s="149">
        <f t="shared" si="108"/>
        <v>155798.84499999997</v>
      </c>
      <c r="BN69" s="142">
        <f t="shared" si="108"/>
        <v>-325391.03499999997</v>
      </c>
      <c r="BO69" s="142">
        <f t="shared" si="108"/>
        <v>0</v>
      </c>
      <c r="BP69" s="142">
        <f t="shared" si="108"/>
        <v>-2208528.2000000002</v>
      </c>
      <c r="BQ69" s="142">
        <f t="shared" ref="BQ69:CQ69" si="109">+BQ63+BQ36+BQ65+BQ66+BQ67</f>
        <v>-2378120.3900000006</v>
      </c>
      <c r="BR69" s="142">
        <f t="shared" si="109"/>
        <v>1319.1700000000064</v>
      </c>
      <c r="BS69" s="142">
        <f t="shared" si="109"/>
        <v>-15852.23</v>
      </c>
      <c r="BT69" s="142">
        <f t="shared" si="109"/>
        <v>0</v>
      </c>
      <c r="BU69" s="142">
        <f t="shared" si="109"/>
        <v>90321.4</v>
      </c>
      <c r="BV69" s="143">
        <f t="shared" si="109"/>
        <v>75788.34</v>
      </c>
      <c r="BW69" s="149">
        <f t="shared" si="109"/>
        <v>-2378120.3900000006</v>
      </c>
      <c r="BX69" s="142">
        <f t="shared" si="109"/>
        <v>147436.25499999998</v>
      </c>
      <c r="BY69" s="142">
        <f t="shared" si="109"/>
        <v>-1141167.96</v>
      </c>
      <c r="BZ69" s="142">
        <f t="shared" si="109"/>
        <v>0</v>
      </c>
      <c r="CA69" s="142">
        <f t="shared" si="109"/>
        <v>0</v>
      </c>
      <c r="CB69" s="142">
        <f t="shared" ref="CB69:CI69" si="110">+CB63+CB36+CB65+CB66+CB67</f>
        <v>0</v>
      </c>
      <c r="CC69" s="142">
        <f t="shared" si="110"/>
        <v>-96603.99</v>
      </c>
      <c r="CD69" s="142">
        <f t="shared" si="110"/>
        <v>-1186120.165</v>
      </c>
      <c r="CE69" s="142">
        <f t="shared" si="110"/>
        <v>75788.34</v>
      </c>
      <c r="CF69" s="142">
        <f t="shared" si="110"/>
        <v>-24030.210000000006</v>
      </c>
      <c r="CG69" s="142">
        <f t="shared" si="110"/>
        <v>-30575.41</v>
      </c>
      <c r="CH69" s="142">
        <f t="shared" si="110"/>
        <v>-2535.75</v>
      </c>
      <c r="CI69" s="143">
        <f t="shared" si="110"/>
        <v>79797.789999999994</v>
      </c>
      <c r="CJ69" s="149">
        <f t="shared" si="109"/>
        <v>-1067200.58</v>
      </c>
      <c r="CK69" s="142">
        <f t="shared" si="109"/>
        <v>99979.69</v>
      </c>
      <c r="CL69" s="142">
        <f t="shared" si="109"/>
        <v>-118919.58500000008</v>
      </c>
      <c r="CM69" s="143">
        <f t="shared" si="109"/>
        <v>-20181.899999999998</v>
      </c>
      <c r="CN69" s="142">
        <f t="shared" si="109"/>
        <v>-1174.4499999999998</v>
      </c>
      <c r="CO69" s="142">
        <f t="shared" si="109"/>
        <v>-535.34000000000026</v>
      </c>
      <c r="CP69" s="137">
        <f t="shared" si="109"/>
        <v>-140811.2750000002</v>
      </c>
      <c r="CQ69" s="138">
        <f t="shared" si="109"/>
        <v>-952572.37000000011</v>
      </c>
      <c r="CR69" s="137">
        <f t="shared" si="33"/>
        <v>153750.00499999989</v>
      </c>
    </row>
    <row r="70" spans="1:96" ht="14.25" x14ac:dyDescent="0.2">
      <c r="C70" s="16"/>
      <c r="D70" s="16"/>
      <c r="E70" s="149"/>
      <c r="F70" s="142"/>
      <c r="G70" s="142"/>
      <c r="H70" s="142"/>
      <c r="I70" s="142"/>
      <c r="J70" s="142"/>
      <c r="K70" s="142"/>
      <c r="L70" s="142"/>
      <c r="M70" s="142"/>
      <c r="N70" s="143"/>
      <c r="O70" s="149"/>
      <c r="P70" s="142"/>
      <c r="Q70" s="142"/>
      <c r="R70" s="142"/>
      <c r="S70" s="142"/>
      <c r="T70" s="142"/>
      <c r="U70" s="142"/>
      <c r="V70" s="142"/>
      <c r="W70" s="142"/>
      <c r="X70" s="143"/>
      <c r="Y70" s="149"/>
      <c r="Z70" s="142"/>
      <c r="AA70" s="142"/>
      <c r="AB70" s="142"/>
      <c r="AC70" s="142"/>
      <c r="AD70" s="142"/>
      <c r="AE70" s="142"/>
      <c r="AF70" s="142"/>
      <c r="AG70" s="142"/>
      <c r="AH70" s="143"/>
      <c r="AI70" s="149"/>
      <c r="AJ70" s="142"/>
      <c r="AK70" s="142"/>
      <c r="AL70" s="142"/>
      <c r="AM70" s="142"/>
      <c r="AN70" s="142"/>
      <c r="AO70" s="142"/>
      <c r="AP70" s="142"/>
      <c r="AQ70" s="142"/>
      <c r="AR70" s="143"/>
      <c r="AS70" s="149"/>
      <c r="AT70" s="142"/>
      <c r="AU70" s="142"/>
      <c r="AV70" s="142"/>
      <c r="AW70" s="142"/>
      <c r="AX70" s="142"/>
      <c r="AY70" s="142"/>
      <c r="AZ70" s="142"/>
      <c r="BA70" s="142"/>
      <c r="BB70" s="143"/>
      <c r="BC70" s="149"/>
      <c r="BD70" s="142"/>
      <c r="BE70" s="142"/>
      <c r="BF70" s="142"/>
      <c r="BG70" s="142"/>
      <c r="BH70" s="142"/>
      <c r="BI70" s="142"/>
      <c r="BJ70" s="142"/>
      <c r="BK70" s="142"/>
      <c r="BL70" s="143"/>
      <c r="BM70" s="149"/>
      <c r="BN70" s="142"/>
      <c r="BO70" s="142"/>
      <c r="BP70" s="142"/>
      <c r="BQ70" s="142"/>
      <c r="BR70" s="142"/>
      <c r="BS70" s="142"/>
      <c r="BT70" s="142"/>
      <c r="BU70" s="142"/>
      <c r="BV70" s="143"/>
      <c r="BW70" s="149"/>
      <c r="BX70" s="142"/>
      <c r="BY70" s="142"/>
      <c r="BZ70" s="142"/>
      <c r="CA70" s="142"/>
      <c r="CB70" s="142"/>
      <c r="CC70" s="142"/>
      <c r="CD70" s="142"/>
      <c r="CE70" s="142"/>
      <c r="CF70" s="142"/>
      <c r="CG70" s="142"/>
      <c r="CH70" s="142"/>
      <c r="CI70" s="143"/>
      <c r="CJ70" s="149"/>
      <c r="CK70" s="142"/>
      <c r="CL70" s="142"/>
      <c r="CM70" s="143"/>
      <c r="CN70" s="136"/>
      <c r="CO70" s="136"/>
      <c r="CP70" s="137"/>
      <c r="CQ70" s="138"/>
      <c r="CR70" s="137"/>
    </row>
    <row r="71" spans="1:96" ht="15" thickBot="1" x14ac:dyDescent="0.25">
      <c r="C71" s="16"/>
      <c r="D71" s="16"/>
      <c r="E71" s="149"/>
      <c r="F71" s="142"/>
      <c r="G71" s="142"/>
      <c r="H71" s="142"/>
      <c r="I71" s="142"/>
      <c r="J71" s="142"/>
      <c r="K71" s="142"/>
      <c r="L71" s="142"/>
      <c r="M71" s="142"/>
      <c r="N71" s="143"/>
      <c r="O71" s="149"/>
      <c r="P71" s="142"/>
      <c r="Q71" s="142"/>
      <c r="R71" s="142"/>
      <c r="S71" s="142"/>
      <c r="T71" s="142"/>
      <c r="U71" s="142"/>
      <c r="V71" s="142"/>
      <c r="W71" s="142"/>
      <c r="X71" s="143"/>
      <c r="Y71" s="149"/>
      <c r="Z71" s="142"/>
      <c r="AA71" s="142"/>
      <c r="AB71" s="142"/>
      <c r="AC71" s="142"/>
      <c r="AD71" s="142"/>
      <c r="AE71" s="142"/>
      <c r="AF71" s="142"/>
      <c r="AG71" s="142"/>
      <c r="AH71" s="143"/>
      <c r="AI71" s="149"/>
      <c r="AJ71" s="142"/>
      <c r="AK71" s="142"/>
      <c r="AL71" s="142"/>
      <c r="AM71" s="142"/>
      <c r="AN71" s="142"/>
      <c r="AO71" s="142"/>
      <c r="AP71" s="142"/>
      <c r="AQ71" s="142"/>
      <c r="AR71" s="143"/>
      <c r="AS71" s="149"/>
      <c r="AT71" s="142"/>
      <c r="AU71" s="142"/>
      <c r="AV71" s="142"/>
      <c r="AW71" s="142"/>
      <c r="AX71" s="142"/>
      <c r="AY71" s="142"/>
      <c r="AZ71" s="142"/>
      <c r="BA71" s="142"/>
      <c r="BB71" s="143"/>
      <c r="BC71" s="149"/>
      <c r="BD71" s="142"/>
      <c r="BE71" s="142"/>
      <c r="BF71" s="142"/>
      <c r="BG71" s="142"/>
      <c r="BH71" s="142"/>
      <c r="BI71" s="142"/>
      <c r="BJ71" s="142"/>
      <c r="BK71" s="142"/>
      <c r="BL71" s="143"/>
      <c r="BM71" s="149"/>
      <c r="BN71" s="142"/>
      <c r="BO71" s="142"/>
      <c r="BP71" s="142"/>
      <c r="BQ71" s="142"/>
      <c r="BR71" s="142"/>
      <c r="BS71" s="142"/>
      <c r="BT71" s="142"/>
      <c r="BU71" s="142"/>
      <c r="BV71" s="143"/>
      <c r="BW71" s="149"/>
      <c r="BX71" s="142"/>
      <c r="BY71" s="142"/>
      <c r="BZ71" s="142"/>
      <c r="CA71" s="142"/>
      <c r="CB71" s="142"/>
      <c r="CC71" s="142"/>
      <c r="CD71" s="142"/>
      <c r="CE71" s="142"/>
      <c r="CF71" s="142"/>
      <c r="CG71" s="142"/>
      <c r="CH71" s="142"/>
      <c r="CI71" s="143"/>
      <c r="CJ71" s="149"/>
      <c r="CK71" s="142"/>
      <c r="CL71" s="142"/>
      <c r="CM71" s="143"/>
      <c r="CN71" s="136"/>
      <c r="CO71" s="136"/>
      <c r="CP71" s="137"/>
      <c r="CQ71" s="138"/>
      <c r="CR71" s="137"/>
    </row>
    <row r="72" spans="1:96" ht="15.75" thickBot="1" x14ac:dyDescent="0.3">
      <c r="A72" s="1">
        <v>35</v>
      </c>
      <c r="C72" s="63" t="s">
        <v>139</v>
      </c>
      <c r="D72" s="62">
        <v>1568</v>
      </c>
      <c r="E72" s="160"/>
      <c r="F72" s="161"/>
      <c r="G72" s="161"/>
      <c r="H72" s="161"/>
      <c r="I72" s="161"/>
      <c r="J72" s="161"/>
      <c r="K72" s="161"/>
      <c r="L72" s="161"/>
      <c r="M72" s="161"/>
      <c r="N72" s="162"/>
      <c r="O72" s="160"/>
      <c r="P72" s="161"/>
      <c r="Q72" s="161"/>
      <c r="R72" s="161"/>
      <c r="S72" s="161"/>
      <c r="T72" s="161"/>
      <c r="U72" s="161"/>
      <c r="V72" s="161"/>
      <c r="W72" s="161"/>
      <c r="X72" s="162"/>
      <c r="Y72" s="160"/>
      <c r="Z72" s="161"/>
      <c r="AA72" s="161"/>
      <c r="AB72" s="161"/>
      <c r="AC72" s="161"/>
      <c r="AD72" s="161"/>
      <c r="AE72" s="161"/>
      <c r="AF72" s="161"/>
      <c r="AG72" s="161"/>
      <c r="AH72" s="162"/>
      <c r="AI72" s="160"/>
      <c r="AJ72" s="161"/>
      <c r="AK72" s="161"/>
      <c r="AL72" s="161"/>
      <c r="AM72" s="161"/>
      <c r="AN72" s="161"/>
      <c r="AO72" s="161"/>
      <c r="AP72" s="161"/>
      <c r="AQ72" s="161"/>
      <c r="AR72" s="162"/>
      <c r="AS72" s="160"/>
      <c r="AT72" s="161"/>
      <c r="AU72" s="161"/>
      <c r="AV72" s="161"/>
      <c r="AW72" s="161"/>
      <c r="AX72" s="161"/>
      <c r="AY72" s="161"/>
      <c r="AZ72" s="161"/>
      <c r="BA72" s="161"/>
      <c r="BB72" s="162"/>
      <c r="BC72" s="163"/>
      <c r="BD72" s="164"/>
      <c r="BE72" s="164"/>
      <c r="BF72" s="164"/>
      <c r="BG72" s="142">
        <f>BC72+BD72-BE72+SUM(BF72:BF72)</f>
        <v>0</v>
      </c>
      <c r="BH72" s="164"/>
      <c r="BI72" s="164"/>
      <c r="BJ72" s="164"/>
      <c r="BK72" s="164"/>
      <c r="BL72" s="143">
        <f>BH72+BI72-BJ72+BK72</f>
        <v>0</v>
      </c>
      <c r="BM72" s="144">
        <f>BG72</f>
        <v>0</v>
      </c>
      <c r="BN72" s="164"/>
      <c r="BO72" s="164"/>
      <c r="BP72" s="164"/>
      <c r="BQ72" s="142">
        <f>BM72+BN72-BO72+SUM(BP72:BP72)</f>
        <v>0</v>
      </c>
      <c r="BR72" s="142">
        <f>BL72</f>
        <v>0</v>
      </c>
      <c r="BS72" s="164"/>
      <c r="BT72" s="164"/>
      <c r="BU72" s="141"/>
      <c r="BV72" s="143">
        <f>BR72+BS72-BT72+BU72</f>
        <v>0</v>
      </c>
      <c r="BW72" s="144">
        <f>BQ72</f>
        <v>0</v>
      </c>
      <c r="BX72" s="164"/>
      <c r="BY72" s="164"/>
      <c r="BZ72" s="164"/>
      <c r="CA72" s="164"/>
      <c r="CB72" s="164"/>
      <c r="CC72" s="141">
        <v>82207</v>
      </c>
      <c r="CD72" s="142">
        <f>BW72+BX72-BY72+SUM(BZ72:CC72)</f>
        <v>82207</v>
      </c>
      <c r="CE72" s="142">
        <f>BV72</f>
        <v>0</v>
      </c>
      <c r="CF72" s="164"/>
      <c r="CG72" s="164"/>
      <c r="CH72" s="141"/>
      <c r="CI72" s="143">
        <f>CE72+CF72-CG72+CH72</f>
        <v>0</v>
      </c>
      <c r="CJ72" s="164"/>
      <c r="CK72" s="164"/>
      <c r="CL72" s="145">
        <f t="shared" ref="CL72" si="111">CD72-CJ72</f>
        <v>82207</v>
      </c>
      <c r="CM72" s="146">
        <f t="shared" ref="CM72" si="112">CI72-CK72</f>
        <v>0</v>
      </c>
      <c r="CN72" s="165">
        <f>ROUND($CL$72*1.47%,2)</f>
        <v>1208.44</v>
      </c>
      <c r="CO72" s="165">
        <f>ROUND($CL$72*1.47%*4/12,2)</f>
        <v>402.81</v>
      </c>
      <c r="CP72" s="137">
        <f t="shared" ref="CP72" si="113">SUM(CL72:CO72)</f>
        <v>83818.25</v>
      </c>
      <c r="CQ72" s="166">
        <v>0</v>
      </c>
      <c r="CR72" s="137">
        <f t="shared" si="33"/>
        <v>-82207</v>
      </c>
    </row>
    <row r="73" spans="1:96" ht="15" x14ac:dyDescent="0.25">
      <c r="C73" s="63"/>
      <c r="D73" s="64"/>
      <c r="E73" s="149"/>
      <c r="F73" s="142"/>
      <c r="G73" s="142"/>
      <c r="H73" s="142"/>
      <c r="I73" s="142"/>
      <c r="J73" s="142"/>
      <c r="K73" s="142"/>
      <c r="L73" s="142"/>
      <c r="M73" s="142"/>
      <c r="N73" s="142"/>
      <c r="O73" s="149"/>
      <c r="P73" s="142"/>
      <c r="Q73" s="142"/>
      <c r="R73" s="142"/>
      <c r="S73" s="142"/>
      <c r="T73" s="142"/>
      <c r="U73" s="142"/>
      <c r="V73" s="142"/>
      <c r="W73" s="142"/>
      <c r="X73" s="142"/>
      <c r="Y73" s="149"/>
      <c r="Z73" s="142"/>
      <c r="AA73" s="142"/>
      <c r="AB73" s="142"/>
      <c r="AC73" s="142"/>
      <c r="AD73" s="142"/>
      <c r="AE73" s="142"/>
      <c r="AF73" s="142"/>
      <c r="AG73" s="142"/>
      <c r="AH73" s="142"/>
      <c r="AI73" s="149"/>
      <c r="AJ73" s="142"/>
      <c r="AK73" s="142"/>
      <c r="AL73" s="142"/>
      <c r="AM73" s="142"/>
      <c r="AN73" s="142"/>
      <c r="AO73" s="142"/>
      <c r="AP73" s="142"/>
      <c r="AQ73" s="142"/>
      <c r="AR73" s="142"/>
      <c r="AS73" s="149"/>
      <c r="AT73" s="142"/>
      <c r="AU73" s="142"/>
      <c r="AV73" s="142"/>
      <c r="AW73" s="142"/>
      <c r="AX73" s="142"/>
      <c r="AY73" s="142"/>
      <c r="AZ73" s="142"/>
      <c r="BA73" s="142"/>
      <c r="BB73" s="142"/>
      <c r="BC73" s="149"/>
      <c r="BD73" s="142"/>
      <c r="BE73" s="142"/>
      <c r="BF73" s="142"/>
      <c r="BG73" s="142"/>
      <c r="BH73" s="142"/>
      <c r="BI73" s="142"/>
      <c r="BJ73" s="142"/>
      <c r="BK73" s="142"/>
      <c r="BL73" s="142"/>
      <c r="BM73" s="149"/>
      <c r="BN73" s="142"/>
      <c r="BO73" s="142"/>
      <c r="BP73" s="142"/>
      <c r="BQ73" s="142"/>
      <c r="BR73" s="142"/>
      <c r="BS73" s="142"/>
      <c r="BT73" s="142"/>
      <c r="BU73" s="142"/>
      <c r="BV73" s="142"/>
      <c r="BW73" s="149"/>
      <c r="BX73" s="142"/>
      <c r="BY73" s="142"/>
      <c r="BZ73" s="142"/>
      <c r="CA73" s="142"/>
      <c r="CB73" s="142"/>
      <c r="CC73" s="142"/>
      <c r="CD73" s="142"/>
      <c r="CE73" s="142"/>
      <c r="CF73" s="142"/>
      <c r="CG73" s="142"/>
      <c r="CH73" s="142"/>
      <c r="CI73" s="142"/>
      <c r="CJ73" s="149"/>
      <c r="CK73" s="142"/>
      <c r="CL73" s="142"/>
      <c r="CM73" s="143"/>
      <c r="CN73" s="136"/>
      <c r="CO73" s="136"/>
      <c r="CP73" s="137"/>
      <c r="CQ73" s="138"/>
      <c r="CR73" s="137"/>
    </row>
    <row r="74" spans="1:96" ht="15" x14ac:dyDescent="0.25">
      <c r="C74" s="63"/>
      <c r="D74" s="64"/>
      <c r="E74" s="149"/>
      <c r="F74" s="142"/>
      <c r="G74" s="142"/>
      <c r="H74" s="142"/>
      <c r="I74" s="142"/>
      <c r="J74" s="142"/>
      <c r="K74" s="142"/>
      <c r="L74" s="142"/>
      <c r="M74" s="142"/>
      <c r="N74" s="142"/>
      <c r="O74" s="149"/>
      <c r="P74" s="142"/>
      <c r="Q74" s="142"/>
      <c r="R74" s="142"/>
      <c r="S74" s="142"/>
      <c r="T74" s="142"/>
      <c r="U74" s="142"/>
      <c r="V74" s="142"/>
      <c r="W74" s="142"/>
      <c r="X74" s="142"/>
      <c r="Y74" s="149"/>
      <c r="Z74" s="142"/>
      <c r="AA74" s="142"/>
      <c r="AB74" s="142"/>
      <c r="AC74" s="142"/>
      <c r="AD74" s="142"/>
      <c r="AE74" s="142"/>
      <c r="AF74" s="142"/>
      <c r="AG74" s="142"/>
      <c r="AH74" s="142"/>
      <c r="AI74" s="149"/>
      <c r="AJ74" s="142"/>
      <c r="AK74" s="142"/>
      <c r="AL74" s="142"/>
      <c r="AM74" s="142"/>
      <c r="AN74" s="142"/>
      <c r="AO74" s="142"/>
      <c r="AP74" s="142"/>
      <c r="AQ74" s="142"/>
      <c r="AR74" s="142"/>
      <c r="AS74" s="149"/>
      <c r="AT74" s="142"/>
      <c r="AU74" s="142"/>
      <c r="AV74" s="142"/>
      <c r="AW74" s="142"/>
      <c r="AX74" s="142"/>
      <c r="AY74" s="142"/>
      <c r="AZ74" s="142"/>
      <c r="BA74" s="142"/>
      <c r="BB74" s="142"/>
      <c r="BC74" s="149"/>
      <c r="BD74" s="142"/>
      <c r="BE74" s="142"/>
      <c r="BF74" s="142"/>
      <c r="BG74" s="142"/>
      <c r="BH74" s="142"/>
      <c r="BI74" s="142"/>
      <c r="BJ74" s="142"/>
      <c r="BK74" s="142"/>
      <c r="BL74" s="142"/>
      <c r="BM74" s="149"/>
      <c r="BN74" s="142"/>
      <c r="BO74" s="142"/>
      <c r="BP74" s="142"/>
      <c r="BQ74" s="142"/>
      <c r="BR74" s="142"/>
      <c r="BS74" s="142"/>
      <c r="BT74" s="142"/>
      <c r="BU74" s="142"/>
      <c r="BV74" s="142"/>
      <c r="BW74" s="149"/>
      <c r="BX74" s="142"/>
      <c r="BY74" s="142"/>
      <c r="BZ74" s="142"/>
      <c r="CA74" s="142"/>
      <c r="CB74" s="142"/>
      <c r="CC74" s="142"/>
      <c r="CD74" s="142"/>
      <c r="CE74" s="142"/>
      <c r="CF74" s="142"/>
      <c r="CG74" s="142"/>
      <c r="CH74" s="142"/>
      <c r="CI74" s="142"/>
      <c r="CJ74" s="149"/>
      <c r="CK74" s="142"/>
      <c r="CL74" s="142"/>
      <c r="CM74" s="143"/>
      <c r="CN74" s="136"/>
      <c r="CO74" s="136"/>
      <c r="CP74" s="137"/>
      <c r="CQ74" s="138"/>
      <c r="CR74" s="137"/>
    </row>
    <row r="75" spans="1:96" ht="15" x14ac:dyDescent="0.25">
      <c r="C75" s="17" t="s">
        <v>201</v>
      </c>
      <c r="D75" s="16"/>
      <c r="E75" s="149">
        <f>E69+E72</f>
        <v>0</v>
      </c>
      <c r="F75" s="142">
        <f t="shared" ref="F75:BP75" si="114">F69+F72</f>
        <v>0</v>
      </c>
      <c r="G75" s="142">
        <f t="shared" si="114"/>
        <v>0</v>
      </c>
      <c r="H75" s="142">
        <f t="shared" si="114"/>
        <v>0</v>
      </c>
      <c r="I75" s="142">
        <f t="shared" si="114"/>
        <v>0</v>
      </c>
      <c r="J75" s="142">
        <f t="shared" si="114"/>
        <v>0</v>
      </c>
      <c r="K75" s="142">
        <f t="shared" si="114"/>
        <v>0</v>
      </c>
      <c r="L75" s="142">
        <f t="shared" si="114"/>
        <v>0</v>
      </c>
      <c r="M75" s="142">
        <f t="shared" si="114"/>
        <v>0</v>
      </c>
      <c r="N75" s="143">
        <f t="shared" si="114"/>
        <v>0</v>
      </c>
      <c r="O75" s="149">
        <f t="shared" si="114"/>
        <v>0</v>
      </c>
      <c r="P75" s="142">
        <f t="shared" si="114"/>
        <v>0</v>
      </c>
      <c r="Q75" s="142">
        <f t="shared" si="114"/>
        <v>0</v>
      </c>
      <c r="R75" s="142">
        <f t="shared" si="114"/>
        <v>0</v>
      </c>
      <c r="S75" s="142">
        <f t="shared" si="114"/>
        <v>0</v>
      </c>
      <c r="T75" s="142">
        <f t="shared" si="114"/>
        <v>0</v>
      </c>
      <c r="U75" s="142">
        <f t="shared" si="114"/>
        <v>0</v>
      </c>
      <c r="V75" s="142">
        <f t="shared" si="114"/>
        <v>0</v>
      </c>
      <c r="W75" s="142">
        <f t="shared" si="114"/>
        <v>0</v>
      </c>
      <c r="X75" s="143">
        <f t="shared" si="114"/>
        <v>0</v>
      </c>
      <c r="Y75" s="149">
        <f t="shared" si="114"/>
        <v>0</v>
      </c>
      <c r="Z75" s="142">
        <f t="shared" si="114"/>
        <v>0</v>
      </c>
      <c r="AA75" s="142">
        <f t="shared" si="114"/>
        <v>0</v>
      </c>
      <c r="AB75" s="142">
        <f t="shared" si="114"/>
        <v>0</v>
      </c>
      <c r="AC75" s="142">
        <f t="shared" si="114"/>
        <v>0</v>
      </c>
      <c r="AD75" s="142">
        <f t="shared" si="114"/>
        <v>0</v>
      </c>
      <c r="AE75" s="142">
        <f t="shared" si="114"/>
        <v>0</v>
      </c>
      <c r="AF75" s="142">
        <f t="shared" si="114"/>
        <v>0</v>
      </c>
      <c r="AG75" s="142">
        <f t="shared" si="114"/>
        <v>0</v>
      </c>
      <c r="AH75" s="143">
        <f t="shared" si="114"/>
        <v>0</v>
      </c>
      <c r="AI75" s="149">
        <f t="shared" si="114"/>
        <v>0</v>
      </c>
      <c r="AJ75" s="142">
        <f t="shared" si="114"/>
        <v>0</v>
      </c>
      <c r="AK75" s="142">
        <f t="shared" si="114"/>
        <v>0</v>
      </c>
      <c r="AL75" s="142">
        <f t="shared" si="114"/>
        <v>317059.25</v>
      </c>
      <c r="AM75" s="142">
        <f t="shared" si="114"/>
        <v>317059.25</v>
      </c>
      <c r="AN75" s="142">
        <f t="shared" si="114"/>
        <v>0</v>
      </c>
      <c r="AO75" s="142">
        <f t="shared" si="114"/>
        <v>0</v>
      </c>
      <c r="AP75" s="142">
        <f t="shared" si="114"/>
        <v>0</v>
      </c>
      <c r="AQ75" s="142">
        <f t="shared" si="114"/>
        <v>35488.75</v>
      </c>
      <c r="AR75" s="143">
        <f t="shared" si="114"/>
        <v>35488.75</v>
      </c>
      <c r="AS75" s="149">
        <f t="shared" si="114"/>
        <v>317059.25</v>
      </c>
      <c r="AT75" s="142">
        <f t="shared" si="114"/>
        <v>87504.569999999992</v>
      </c>
      <c r="AU75" s="142">
        <f t="shared" si="114"/>
        <v>0</v>
      </c>
      <c r="AV75" s="142">
        <f t="shared" si="114"/>
        <v>0</v>
      </c>
      <c r="AW75" s="142">
        <f t="shared" si="114"/>
        <v>404563.82</v>
      </c>
      <c r="AX75" s="142">
        <f t="shared" si="114"/>
        <v>35488.75</v>
      </c>
      <c r="AY75" s="142">
        <f t="shared" si="114"/>
        <v>3879.1200000000003</v>
      </c>
      <c r="AZ75" s="142">
        <f t="shared" si="114"/>
        <v>0</v>
      </c>
      <c r="BA75" s="142">
        <f t="shared" si="114"/>
        <v>0</v>
      </c>
      <c r="BB75" s="143">
        <f t="shared" si="114"/>
        <v>39367.870000000003</v>
      </c>
      <c r="BC75" s="149">
        <f t="shared" si="114"/>
        <v>404563.82</v>
      </c>
      <c r="BD75" s="142">
        <f t="shared" si="114"/>
        <v>68294.274999999994</v>
      </c>
      <c r="BE75" s="142">
        <f t="shared" si="114"/>
        <v>317059.25</v>
      </c>
      <c r="BF75" s="142">
        <f t="shared" si="114"/>
        <v>0</v>
      </c>
      <c r="BG75" s="142">
        <f t="shared" si="114"/>
        <v>155798.84499999997</v>
      </c>
      <c r="BH75" s="142">
        <f t="shared" si="114"/>
        <v>39367.870000000003</v>
      </c>
      <c r="BI75" s="142">
        <f t="shared" si="114"/>
        <v>1628.3</v>
      </c>
      <c r="BJ75" s="142">
        <f t="shared" si="114"/>
        <v>39677</v>
      </c>
      <c r="BK75" s="142">
        <f t="shared" si="114"/>
        <v>0</v>
      </c>
      <c r="BL75" s="143">
        <f t="shared" si="114"/>
        <v>1319.1700000000064</v>
      </c>
      <c r="BM75" s="149">
        <f t="shared" si="114"/>
        <v>155798.84499999997</v>
      </c>
      <c r="BN75" s="142">
        <f t="shared" si="114"/>
        <v>-325391.03499999997</v>
      </c>
      <c r="BO75" s="142">
        <f t="shared" si="114"/>
        <v>0</v>
      </c>
      <c r="BP75" s="142">
        <f t="shared" si="114"/>
        <v>-2208528.2000000002</v>
      </c>
      <c r="BQ75" s="142">
        <f t="shared" ref="BQ75:CQ75" si="115">BQ69+BQ72</f>
        <v>-2378120.3900000006</v>
      </c>
      <c r="BR75" s="142">
        <f t="shared" si="115"/>
        <v>1319.1700000000064</v>
      </c>
      <c r="BS75" s="142">
        <f t="shared" si="115"/>
        <v>-15852.23</v>
      </c>
      <c r="BT75" s="142">
        <f t="shared" si="115"/>
        <v>0</v>
      </c>
      <c r="BU75" s="142">
        <f t="shared" si="115"/>
        <v>90321.4</v>
      </c>
      <c r="BV75" s="143">
        <f t="shared" si="115"/>
        <v>75788.34</v>
      </c>
      <c r="BW75" s="149">
        <f t="shared" si="115"/>
        <v>-2378120.3900000006</v>
      </c>
      <c r="BX75" s="142">
        <f t="shared" si="115"/>
        <v>147436.25499999998</v>
      </c>
      <c r="BY75" s="142">
        <f t="shared" si="115"/>
        <v>-1141167.96</v>
      </c>
      <c r="BZ75" s="142">
        <f t="shared" si="115"/>
        <v>0</v>
      </c>
      <c r="CA75" s="142">
        <f t="shared" si="115"/>
        <v>0</v>
      </c>
      <c r="CB75" s="142">
        <f t="shared" si="115"/>
        <v>0</v>
      </c>
      <c r="CC75" s="142">
        <f t="shared" si="115"/>
        <v>-14396.990000000005</v>
      </c>
      <c r="CD75" s="142">
        <f t="shared" si="115"/>
        <v>-1103913.165</v>
      </c>
      <c r="CE75" s="142">
        <f t="shared" si="115"/>
        <v>75788.34</v>
      </c>
      <c r="CF75" s="142">
        <f t="shared" si="115"/>
        <v>-24030.210000000006</v>
      </c>
      <c r="CG75" s="142">
        <f t="shared" si="115"/>
        <v>-30575.41</v>
      </c>
      <c r="CH75" s="142">
        <f t="shared" si="115"/>
        <v>-2535.75</v>
      </c>
      <c r="CI75" s="143">
        <f t="shared" si="115"/>
        <v>79797.789999999994</v>
      </c>
      <c r="CJ75" s="149">
        <f t="shared" si="115"/>
        <v>-1067200.58</v>
      </c>
      <c r="CK75" s="142">
        <f t="shared" si="115"/>
        <v>99979.69</v>
      </c>
      <c r="CL75" s="142">
        <f t="shared" si="115"/>
        <v>-36712.585000000079</v>
      </c>
      <c r="CM75" s="143">
        <f t="shared" si="115"/>
        <v>-20181.899999999998</v>
      </c>
      <c r="CN75" s="149">
        <f t="shared" si="115"/>
        <v>33.990000000000236</v>
      </c>
      <c r="CO75" s="142">
        <f t="shared" si="115"/>
        <v>-132.53000000000026</v>
      </c>
      <c r="CP75" s="143">
        <f t="shared" si="115"/>
        <v>-56993.025000000198</v>
      </c>
      <c r="CQ75" s="143">
        <f t="shared" si="115"/>
        <v>-952572.37000000011</v>
      </c>
      <c r="CR75" s="137">
        <f t="shared" si="33"/>
        <v>71543.004999999888</v>
      </c>
    </row>
    <row r="76" spans="1:96" ht="15" thickBot="1" x14ac:dyDescent="0.25">
      <c r="C76" s="16"/>
      <c r="D76" s="16"/>
      <c r="E76" s="149"/>
      <c r="F76" s="142"/>
      <c r="G76" s="142"/>
      <c r="H76" s="142"/>
      <c r="I76" s="142"/>
      <c r="J76" s="142"/>
      <c r="K76" s="142"/>
      <c r="L76" s="142"/>
      <c r="M76" s="142"/>
      <c r="N76" s="143"/>
      <c r="O76" s="149"/>
      <c r="P76" s="142"/>
      <c r="Q76" s="142"/>
      <c r="R76" s="142"/>
      <c r="S76" s="142"/>
      <c r="T76" s="142"/>
      <c r="U76" s="142"/>
      <c r="V76" s="142"/>
      <c r="W76" s="142"/>
      <c r="X76" s="143"/>
      <c r="Y76" s="149"/>
      <c r="Z76" s="142"/>
      <c r="AA76" s="142"/>
      <c r="AB76" s="142"/>
      <c r="AC76" s="142"/>
      <c r="AD76" s="142"/>
      <c r="AE76" s="142"/>
      <c r="AF76" s="142"/>
      <c r="AG76" s="142"/>
      <c r="AH76" s="143"/>
      <c r="AI76" s="149"/>
      <c r="AJ76" s="142"/>
      <c r="AK76" s="142"/>
      <c r="AL76" s="142"/>
      <c r="AM76" s="142"/>
      <c r="AN76" s="142"/>
      <c r="AO76" s="142"/>
      <c r="AP76" s="142"/>
      <c r="AQ76" s="142"/>
      <c r="AR76" s="143"/>
      <c r="AS76" s="149"/>
      <c r="AT76" s="142"/>
      <c r="AU76" s="142"/>
      <c r="AV76" s="142"/>
      <c r="AW76" s="142"/>
      <c r="AX76" s="142"/>
      <c r="AY76" s="142"/>
      <c r="AZ76" s="142"/>
      <c r="BA76" s="142"/>
      <c r="BB76" s="143"/>
      <c r="BC76" s="149"/>
      <c r="BD76" s="142"/>
      <c r="BE76" s="142"/>
      <c r="BF76" s="142"/>
      <c r="BG76" s="142"/>
      <c r="BH76" s="142"/>
      <c r="BI76" s="142"/>
      <c r="BJ76" s="142"/>
      <c r="BK76" s="142"/>
      <c r="BL76" s="143"/>
      <c r="BM76" s="149"/>
      <c r="BN76" s="142"/>
      <c r="BO76" s="142"/>
      <c r="BP76" s="142"/>
      <c r="BQ76" s="142"/>
      <c r="BR76" s="142"/>
      <c r="BS76" s="142"/>
      <c r="BT76" s="142"/>
      <c r="BU76" s="142"/>
      <c r="BV76" s="143"/>
      <c r="BW76" s="149"/>
      <c r="BX76" s="142"/>
      <c r="BY76" s="142"/>
      <c r="BZ76" s="142"/>
      <c r="CA76" s="142"/>
      <c r="CB76" s="142"/>
      <c r="CC76" s="142"/>
      <c r="CD76" s="142"/>
      <c r="CE76" s="142"/>
      <c r="CF76" s="142"/>
      <c r="CG76" s="142"/>
      <c r="CH76" s="142"/>
      <c r="CI76" s="143"/>
      <c r="CJ76" s="149"/>
      <c r="CK76" s="142"/>
      <c r="CL76" s="142"/>
      <c r="CM76" s="143"/>
      <c r="CN76" s="136"/>
      <c r="CO76" s="136"/>
      <c r="CP76" s="137"/>
      <c r="CQ76" s="138"/>
      <c r="CR76" s="137"/>
    </row>
    <row r="77" spans="1:96" ht="17.25" thickBot="1" x14ac:dyDescent="0.25">
      <c r="A77" s="1">
        <v>36</v>
      </c>
      <c r="C77" s="5" t="s">
        <v>197</v>
      </c>
      <c r="D77" s="8">
        <v>1555</v>
      </c>
      <c r="E77" s="156"/>
      <c r="F77" s="155"/>
      <c r="G77" s="155"/>
      <c r="H77" s="155"/>
      <c r="I77" s="142">
        <f>E77+F77-G77+H77</f>
        <v>0</v>
      </c>
      <c r="J77" s="155"/>
      <c r="K77" s="155"/>
      <c r="L77" s="155"/>
      <c r="M77" s="155"/>
      <c r="N77" s="143">
        <f>J77+K77-L77+M77</f>
        <v>0</v>
      </c>
      <c r="O77" s="144">
        <f>I77</f>
        <v>0</v>
      </c>
      <c r="P77" s="155"/>
      <c r="Q77" s="155"/>
      <c r="R77" s="155"/>
      <c r="S77" s="142">
        <f>O77+P77-Q77+R77</f>
        <v>0</v>
      </c>
      <c r="T77" s="145">
        <f>N77</f>
        <v>0</v>
      </c>
      <c r="U77" s="155"/>
      <c r="V77" s="155"/>
      <c r="W77" s="155"/>
      <c r="X77" s="143">
        <f>T77+U77-V77+W77</f>
        <v>0</v>
      </c>
      <c r="Y77" s="144">
        <f>S77</f>
        <v>0</v>
      </c>
      <c r="Z77" s="155"/>
      <c r="AA77" s="155"/>
      <c r="AB77" s="155"/>
      <c r="AC77" s="142">
        <f>Y77+Z77-AA77+AB77</f>
        <v>0</v>
      </c>
      <c r="AD77" s="145">
        <f>X77</f>
        <v>0</v>
      </c>
      <c r="AE77" s="155"/>
      <c r="AF77" s="155"/>
      <c r="AG77" s="155"/>
      <c r="AH77" s="143">
        <f>AD77+AE77-AF77+AG77</f>
        <v>0</v>
      </c>
      <c r="AI77" s="144">
        <f>AC77</f>
        <v>0</v>
      </c>
      <c r="AJ77" s="155"/>
      <c r="AK77" s="155"/>
      <c r="AL77" s="155"/>
      <c r="AM77" s="142">
        <f>AI77+AJ77-AK77+AL77</f>
        <v>0</v>
      </c>
      <c r="AN77" s="145">
        <f>AH77</f>
        <v>0</v>
      </c>
      <c r="AO77" s="155"/>
      <c r="AP77" s="155"/>
      <c r="AQ77" s="155"/>
      <c r="AR77" s="143">
        <f>AN77+AO77-AP77+AQ77</f>
        <v>0</v>
      </c>
      <c r="AS77" s="144">
        <f>AM77</f>
        <v>0</v>
      </c>
      <c r="AT77" s="154"/>
      <c r="AU77" s="154"/>
      <c r="AV77" s="154"/>
      <c r="AW77" s="142">
        <f>AS77+AT77-AU77+AV77</f>
        <v>0</v>
      </c>
      <c r="AX77" s="145">
        <f>AR77</f>
        <v>0</v>
      </c>
      <c r="AY77" s="141"/>
      <c r="AZ77" s="141"/>
      <c r="BA77" s="141"/>
      <c r="BB77" s="143">
        <f>AX77+AY77-AZ77+BA77</f>
        <v>0</v>
      </c>
      <c r="BC77" s="144">
        <f>AW77</f>
        <v>0</v>
      </c>
      <c r="BD77" s="141"/>
      <c r="BE77" s="141"/>
      <c r="BF77" s="141"/>
      <c r="BG77" s="142">
        <f>BC77+BD77-BE77+SUM(BF77:BF77)</f>
        <v>0</v>
      </c>
      <c r="BH77" s="145">
        <f>BB77</f>
        <v>0</v>
      </c>
      <c r="BI77" s="141"/>
      <c r="BJ77" s="155"/>
      <c r="BK77" s="155"/>
      <c r="BL77" s="143">
        <f>BH77+BI77-BJ77+BK77</f>
        <v>0</v>
      </c>
      <c r="BM77" s="144">
        <f>BG77</f>
        <v>0</v>
      </c>
      <c r="BN77" s="141"/>
      <c r="BO77" s="141"/>
      <c r="BP77" s="141"/>
      <c r="BQ77" s="142">
        <f>BM77+BN77-BO77+SUM(BP77:BP77)</f>
        <v>0</v>
      </c>
      <c r="BR77" s="145">
        <f>BL77</f>
        <v>0</v>
      </c>
      <c r="BS77" s="141"/>
      <c r="BT77" s="155"/>
      <c r="BU77" s="155"/>
      <c r="BV77" s="143">
        <f>BR77+BS77-BT77+BU77</f>
        <v>0</v>
      </c>
      <c r="BW77" s="144">
        <f>BQ77</f>
        <v>0</v>
      </c>
      <c r="BX77" s="141"/>
      <c r="BY77" s="141"/>
      <c r="BZ77" s="141"/>
      <c r="CA77" s="141"/>
      <c r="CB77" s="141"/>
      <c r="CC77" s="141"/>
      <c r="CD77" s="142">
        <f>BW77+BX77-BY77+SUM(BZ77:CC77)</f>
        <v>0</v>
      </c>
      <c r="CE77" s="145">
        <f>BV77</f>
        <v>0</v>
      </c>
      <c r="CF77" s="141"/>
      <c r="CG77" s="155"/>
      <c r="CH77" s="155"/>
      <c r="CI77" s="143">
        <f>CE77+CF77-CG77+CH77</f>
        <v>0</v>
      </c>
      <c r="CJ77" s="140"/>
      <c r="CK77" s="141"/>
      <c r="CL77" s="145">
        <f t="shared" ref="CL77" si="116">CD77-CJ77</f>
        <v>0</v>
      </c>
      <c r="CM77" s="146">
        <f t="shared" ref="CM77" si="117">CI77-CK77</f>
        <v>0</v>
      </c>
      <c r="CN77" s="147"/>
      <c r="CO77" s="141"/>
      <c r="CP77" s="137">
        <f t="shared" si="32"/>
        <v>0</v>
      </c>
      <c r="CQ77" s="148"/>
      <c r="CR77" s="137">
        <f t="shared" si="33"/>
        <v>0</v>
      </c>
    </row>
    <row r="78" spans="1:96" ht="17.25" thickBot="1" x14ac:dyDescent="0.25">
      <c r="A78" s="1">
        <v>37</v>
      </c>
      <c r="C78" s="5" t="s">
        <v>198</v>
      </c>
      <c r="D78" s="8">
        <v>1555</v>
      </c>
      <c r="E78" s="156"/>
      <c r="F78" s="155"/>
      <c r="G78" s="155"/>
      <c r="H78" s="155"/>
      <c r="I78" s="142">
        <f>E78+F78-G78+H78</f>
        <v>0</v>
      </c>
      <c r="J78" s="155"/>
      <c r="K78" s="155"/>
      <c r="L78" s="155"/>
      <c r="M78" s="155"/>
      <c r="N78" s="143">
        <f>J78+K78-L78+M78</f>
        <v>0</v>
      </c>
      <c r="O78" s="144">
        <f>I78</f>
        <v>0</v>
      </c>
      <c r="P78" s="155"/>
      <c r="Q78" s="155"/>
      <c r="R78" s="155"/>
      <c r="S78" s="142">
        <f>O78+P78-Q78+R78</f>
        <v>0</v>
      </c>
      <c r="T78" s="145">
        <f>N78</f>
        <v>0</v>
      </c>
      <c r="U78" s="155"/>
      <c r="V78" s="155"/>
      <c r="W78" s="155"/>
      <c r="X78" s="143">
        <f>T78+U78-V78+W78</f>
        <v>0</v>
      </c>
      <c r="Y78" s="144">
        <f>S78</f>
        <v>0</v>
      </c>
      <c r="Z78" s="155"/>
      <c r="AA78" s="155"/>
      <c r="AB78" s="155"/>
      <c r="AC78" s="142">
        <f>Y78+Z78-AA78+AB78</f>
        <v>0</v>
      </c>
      <c r="AD78" s="145">
        <f>X78</f>
        <v>0</v>
      </c>
      <c r="AE78" s="155"/>
      <c r="AF78" s="155"/>
      <c r="AG78" s="155"/>
      <c r="AH78" s="143">
        <f>AD78+AE78-AF78+AG78</f>
        <v>0</v>
      </c>
      <c r="AI78" s="144">
        <f>AC78</f>
        <v>0</v>
      </c>
      <c r="AJ78" s="155"/>
      <c r="AK78" s="155"/>
      <c r="AL78" s="155"/>
      <c r="AM78" s="142">
        <f>AI78+AJ78-AK78+AL78</f>
        <v>0</v>
      </c>
      <c r="AN78" s="145">
        <f>AH78</f>
        <v>0</v>
      </c>
      <c r="AO78" s="155"/>
      <c r="AP78" s="155"/>
      <c r="AQ78" s="155"/>
      <c r="AR78" s="143">
        <f>AN78+AO78-AP78+AQ78</f>
        <v>0</v>
      </c>
      <c r="AS78" s="144">
        <f>AM78</f>
        <v>0</v>
      </c>
      <c r="AT78" s="154"/>
      <c r="AU78" s="154"/>
      <c r="AV78" s="154"/>
      <c r="AW78" s="142">
        <f>AS78+AT78-AU78+AV78</f>
        <v>0</v>
      </c>
      <c r="AX78" s="145">
        <f>AR78</f>
        <v>0</v>
      </c>
      <c r="AY78" s="141"/>
      <c r="AZ78" s="141"/>
      <c r="BA78" s="141"/>
      <c r="BB78" s="143">
        <f>AX78+AY78-AZ78+BA78</f>
        <v>0</v>
      </c>
      <c r="BC78" s="144">
        <f>AW78</f>
        <v>0</v>
      </c>
      <c r="BD78" s="141"/>
      <c r="BE78" s="141"/>
      <c r="BF78" s="141"/>
      <c r="BG78" s="142">
        <f>BC78+BD78-BE78+SUM(BF78:BF78)</f>
        <v>0</v>
      </c>
      <c r="BH78" s="145">
        <f>BB78</f>
        <v>0</v>
      </c>
      <c r="BI78" s="141"/>
      <c r="BJ78" s="155"/>
      <c r="BK78" s="155"/>
      <c r="BL78" s="143">
        <f>BH78+BI78-BJ78+BK78</f>
        <v>0</v>
      </c>
      <c r="BM78" s="144">
        <f>BG78</f>
        <v>0</v>
      </c>
      <c r="BN78" s="141"/>
      <c r="BO78" s="141"/>
      <c r="BP78" s="141"/>
      <c r="BQ78" s="142">
        <f>BM78+BN78-BO78+SUM(BP78:BP78)</f>
        <v>0</v>
      </c>
      <c r="BR78" s="145">
        <f>BL78</f>
        <v>0</v>
      </c>
      <c r="BS78" s="141"/>
      <c r="BT78" s="155"/>
      <c r="BU78" s="155"/>
      <c r="BV78" s="143">
        <f>BR78+BS78-BT78+BU78</f>
        <v>0</v>
      </c>
      <c r="BW78" s="144">
        <f>BQ78</f>
        <v>0</v>
      </c>
      <c r="BX78" s="141"/>
      <c r="BY78" s="141"/>
      <c r="BZ78" s="141"/>
      <c r="CA78" s="141"/>
      <c r="CB78" s="141"/>
      <c r="CC78" s="141"/>
      <c r="CD78" s="142">
        <f>BW78+BX78-BY78+SUM(BZ78:CC78)</f>
        <v>0</v>
      </c>
      <c r="CE78" s="145">
        <f>BV78</f>
        <v>0</v>
      </c>
      <c r="CF78" s="141"/>
      <c r="CG78" s="155"/>
      <c r="CH78" s="155"/>
      <c r="CI78" s="143">
        <f>CE78+CF78-CG78+CH78</f>
        <v>0</v>
      </c>
      <c r="CJ78" s="140"/>
      <c r="CK78" s="141"/>
      <c r="CL78" s="145">
        <f t="shared" ref="CL78:CL80" si="118">CD78-CJ78</f>
        <v>0</v>
      </c>
      <c r="CM78" s="146">
        <f t="shared" ref="CM78:CM80" si="119">CI78-CK78</f>
        <v>0</v>
      </c>
      <c r="CN78" s="147"/>
      <c r="CO78" s="141"/>
      <c r="CP78" s="137">
        <f t="shared" si="32"/>
        <v>0</v>
      </c>
      <c r="CQ78" s="148"/>
      <c r="CR78" s="137">
        <f t="shared" si="33"/>
        <v>0</v>
      </c>
    </row>
    <row r="79" spans="1:96" ht="17.25" thickBot="1" x14ac:dyDescent="0.25">
      <c r="A79" s="1">
        <v>38</v>
      </c>
      <c r="C79" s="5" t="s">
        <v>199</v>
      </c>
      <c r="D79" s="8">
        <v>1555</v>
      </c>
      <c r="E79" s="140"/>
      <c r="F79" s="141"/>
      <c r="G79" s="141"/>
      <c r="H79" s="141"/>
      <c r="I79" s="142">
        <f>E79+F79-G79+H79</f>
        <v>0</v>
      </c>
      <c r="J79" s="141"/>
      <c r="K79" s="141"/>
      <c r="L79" s="141"/>
      <c r="M79" s="141"/>
      <c r="N79" s="143">
        <f>J79+K79-L79+M79</f>
        <v>0</v>
      </c>
      <c r="O79" s="144">
        <f>I79</f>
        <v>0</v>
      </c>
      <c r="P79" s="141"/>
      <c r="Q79" s="141"/>
      <c r="R79" s="141"/>
      <c r="S79" s="142">
        <f>O79+P79-Q79+R79</f>
        <v>0</v>
      </c>
      <c r="T79" s="145">
        <f>N79</f>
        <v>0</v>
      </c>
      <c r="U79" s="141"/>
      <c r="V79" s="141"/>
      <c r="W79" s="141"/>
      <c r="X79" s="143">
        <f>T79+U79-V79+W79</f>
        <v>0</v>
      </c>
      <c r="Y79" s="144">
        <f>S79</f>
        <v>0</v>
      </c>
      <c r="Z79" s="141"/>
      <c r="AA79" s="141"/>
      <c r="AB79" s="141"/>
      <c r="AC79" s="142">
        <f>Y79+Z79-AA79+AB79</f>
        <v>0</v>
      </c>
      <c r="AD79" s="145">
        <f>X79</f>
        <v>0</v>
      </c>
      <c r="AE79" s="141"/>
      <c r="AF79" s="141"/>
      <c r="AG79" s="141"/>
      <c r="AH79" s="143">
        <f>AD79+AE79-AF79+AG79</f>
        <v>0</v>
      </c>
      <c r="AI79" s="144">
        <f>AC79</f>
        <v>0</v>
      </c>
      <c r="AJ79" s="141"/>
      <c r="AK79" s="141"/>
      <c r="AL79" s="141"/>
      <c r="AM79" s="142">
        <f>AI79+AJ79-AK79+AL79</f>
        <v>0</v>
      </c>
      <c r="AN79" s="145">
        <f>AH79</f>
        <v>0</v>
      </c>
      <c r="AO79" s="141"/>
      <c r="AP79" s="141"/>
      <c r="AQ79" s="141"/>
      <c r="AR79" s="143">
        <f>AN79+AO79-AP79+AQ79</f>
        <v>0</v>
      </c>
      <c r="AS79" s="144">
        <f>AM79</f>
        <v>0</v>
      </c>
      <c r="AT79" s="154"/>
      <c r="AU79" s="154"/>
      <c r="AV79" s="154"/>
      <c r="AW79" s="142">
        <f>AS79+AT79-AU79+AV79</f>
        <v>0</v>
      </c>
      <c r="AX79" s="145">
        <f>AR79</f>
        <v>0</v>
      </c>
      <c r="AY79" s="141"/>
      <c r="AZ79" s="141"/>
      <c r="BA79" s="141"/>
      <c r="BB79" s="143">
        <f>AX79+AY79-AZ79+BA79</f>
        <v>0</v>
      </c>
      <c r="BC79" s="144">
        <f>AW79</f>
        <v>0</v>
      </c>
      <c r="BD79" s="141"/>
      <c r="BE79" s="141"/>
      <c r="BF79" s="141"/>
      <c r="BG79" s="142">
        <f>BC79+BD79-BE79+SUM(BF79:BF79)</f>
        <v>0</v>
      </c>
      <c r="BH79" s="145">
        <f>BB79</f>
        <v>0</v>
      </c>
      <c r="BI79" s="141"/>
      <c r="BJ79" s="141"/>
      <c r="BK79" s="141"/>
      <c r="BL79" s="143">
        <f>BH79+BI79-BJ79+BK79</f>
        <v>0</v>
      </c>
      <c r="BM79" s="144">
        <f>BG79</f>
        <v>0</v>
      </c>
      <c r="BN79" s="141"/>
      <c r="BO79" s="141"/>
      <c r="BP79" s="141"/>
      <c r="BQ79" s="142">
        <f>BM79+BN79-BO79+SUM(BP79:BP79)</f>
        <v>0</v>
      </c>
      <c r="BR79" s="145">
        <f>BL79</f>
        <v>0</v>
      </c>
      <c r="BS79" s="141"/>
      <c r="BT79" s="141"/>
      <c r="BU79" s="141"/>
      <c r="BV79" s="143">
        <f>BR79+BS79-BT79+BU79</f>
        <v>0</v>
      </c>
      <c r="BW79" s="144">
        <f>BQ79</f>
        <v>0</v>
      </c>
      <c r="BX79" s="141"/>
      <c r="BY79" s="141"/>
      <c r="BZ79" s="141"/>
      <c r="CA79" s="141"/>
      <c r="CB79" s="141"/>
      <c r="CC79" s="141"/>
      <c r="CD79" s="142">
        <f>BW79+BX79-BY79+SUM(BZ79:CC79)</f>
        <v>0</v>
      </c>
      <c r="CE79" s="145">
        <f>BV79</f>
        <v>0</v>
      </c>
      <c r="CF79" s="141"/>
      <c r="CG79" s="141"/>
      <c r="CH79" s="141"/>
      <c r="CI79" s="143">
        <f>CE79+CF79-CG79+CH79</f>
        <v>0</v>
      </c>
      <c r="CJ79" s="140"/>
      <c r="CK79" s="141"/>
      <c r="CL79" s="145">
        <f t="shared" si="118"/>
        <v>0</v>
      </c>
      <c r="CM79" s="146">
        <f t="shared" si="119"/>
        <v>0</v>
      </c>
      <c r="CN79" s="147"/>
      <c r="CO79" s="141"/>
      <c r="CP79" s="137">
        <f t="shared" si="32"/>
        <v>0</v>
      </c>
      <c r="CQ79" s="148"/>
      <c r="CR79" s="137">
        <f t="shared" si="33"/>
        <v>0</v>
      </c>
    </row>
    <row r="80" spans="1:96" ht="16.5" x14ac:dyDescent="0.2">
      <c r="A80" s="1">
        <v>39</v>
      </c>
      <c r="C80" s="5" t="s">
        <v>200</v>
      </c>
      <c r="D80" s="8">
        <v>1556</v>
      </c>
      <c r="E80" s="153"/>
      <c r="F80" s="154"/>
      <c r="G80" s="154"/>
      <c r="H80" s="154"/>
      <c r="I80" s="142">
        <f>E80+F80-G80+H80</f>
        <v>0</v>
      </c>
      <c r="J80" s="154"/>
      <c r="K80" s="154"/>
      <c r="L80" s="154"/>
      <c r="M80" s="154"/>
      <c r="N80" s="143">
        <f>J80+K80-L80+M80</f>
        <v>0</v>
      </c>
      <c r="O80" s="167">
        <f>I80</f>
        <v>0</v>
      </c>
      <c r="P80" s="154"/>
      <c r="Q80" s="154"/>
      <c r="R80" s="154"/>
      <c r="S80" s="142">
        <f>O80+P80-Q80+R80</f>
        <v>0</v>
      </c>
      <c r="T80" s="168">
        <f>N80</f>
        <v>0</v>
      </c>
      <c r="U80" s="154"/>
      <c r="V80" s="154"/>
      <c r="W80" s="154"/>
      <c r="X80" s="143">
        <f>T80+U80-V80+W80</f>
        <v>0</v>
      </c>
      <c r="Y80" s="167">
        <f>S80</f>
        <v>0</v>
      </c>
      <c r="Z80" s="154"/>
      <c r="AA80" s="154"/>
      <c r="AB80" s="154"/>
      <c r="AC80" s="142">
        <f>Y80+Z80-AA80+AB80</f>
        <v>0</v>
      </c>
      <c r="AD80" s="168">
        <f>X80</f>
        <v>0</v>
      </c>
      <c r="AE80" s="154"/>
      <c r="AF80" s="154"/>
      <c r="AG80" s="154"/>
      <c r="AH80" s="143">
        <f>AD80+AE80-AF80+AG80</f>
        <v>0</v>
      </c>
      <c r="AI80" s="167">
        <f>AC80</f>
        <v>0</v>
      </c>
      <c r="AJ80" s="154"/>
      <c r="AK80" s="154"/>
      <c r="AL80" s="154"/>
      <c r="AM80" s="142">
        <f>AI80+AJ80-AK80+AL80</f>
        <v>0</v>
      </c>
      <c r="AN80" s="168">
        <f>AH80</f>
        <v>0</v>
      </c>
      <c r="AO80" s="154"/>
      <c r="AP80" s="154"/>
      <c r="AQ80" s="154"/>
      <c r="AR80" s="143">
        <f>AN80+AO80-AP80+AQ80</f>
        <v>0</v>
      </c>
      <c r="AS80" s="167">
        <f>AM80</f>
        <v>0</v>
      </c>
      <c r="AT80" s="154"/>
      <c r="AU80" s="154"/>
      <c r="AV80" s="154"/>
      <c r="AW80" s="142">
        <f>AS80+AT80-AU80+AV80</f>
        <v>0</v>
      </c>
      <c r="AX80" s="168">
        <f>AR80</f>
        <v>0</v>
      </c>
      <c r="AY80" s="154"/>
      <c r="AZ80" s="154"/>
      <c r="BA80" s="154"/>
      <c r="BB80" s="143">
        <f>AX80+AY80-AZ80+BA80</f>
        <v>0</v>
      </c>
      <c r="BC80" s="167">
        <f>AW80</f>
        <v>0</v>
      </c>
      <c r="BD80" s="154"/>
      <c r="BE80" s="154"/>
      <c r="BF80" s="154"/>
      <c r="BG80" s="142">
        <f>BC80+BD80-BE80+SUM(BF80:BF80)</f>
        <v>0</v>
      </c>
      <c r="BH80" s="168">
        <f>BB80</f>
        <v>0</v>
      </c>
      <c r="BI80" s="154"/>
      <c r="BJ80" s="154"/>
      <c r="BK80" s="154"/>
      <c r="BL80" s="143">
        <f>BH80+BI80-BJ80+BK80</f>
        <v>0</v>
      </c>
      <c r="BM80" s="167">
        <f>BG80</f>
        <v>0</v>
      </c>
      <c r="BN80" s="154"/>
      <c r="BO80" s="154"/>
      <c r="BP80" s="154"/>
      <c r="BQ80" s="142">
        <f>BM80+BN80-BO80+SUM(BP80:BP80)</f>
        <v>0</v>
      </c>
      <c r="BR80" s="168">
        <f>BL80</f>
        <v>0</v>
      </c>
      <c r="BS80" s="154"/>
      <c r="BT80" s="154"/>
      <c r="BU80" s="154"/>
      <c r="BV80" s="143">
        <f>BR80+BS80-BT80+BU80</f>
        <v>0</v>
      </c>
      <c r="BW80" s="167">
        <f>BQ80</f>
        <v>0</v>
      </c>
      <c r="BX80" s="154"/>
      <c r="BY80" s="154"/>
      <c r="BZ80" s="154"/>
      <c r="CA80" s="154"/>
      <c r="CB80" s="154"/>
      <c r="CC80" s="154"/>
      <c r="CD80" s="142">
        <f>BW80+BX80-BY80+SUM(BZ80:CC80)</f>
        <v>0</v>
      </c>
      <c r="CE80" s="168">
        <f>BV80</f>
        <v>0</v>
      </c>
      <c r="CF80" s="154"/>
      <c r="CG80" s="154"/>
      <c r="CH80" s="154"/>
      <c r="CI80" s="143">
        <f>CE80+CF80-CG80+CH80</f>
        <v>0</v>
      </c>
      <c r="CJ80" s="153"/>
      <c r="CK80" s="154"/>
      <c r="CL80" s="168">
        <f t="shared" si="118"/>
        <v>0</v>
      </c>
      <c r="CM80" s="169">
        <f t="shared" si="119"/>
        <v>0</v>
      </c>
      <c r="CN80" s="170"/>
      <c r="CO80" s="154"/>
      <c r="CP80" s="137">
        <f t="shared" si="32"/>
        <v>0</v>
      </c>
      <c r="CQ80" s="171"/>
      <c r="CR80" s="137">
        <f t="shared" si="33"/>
        <v>0</v>
      </c>
    </row>
    <row r="81" spans="1:96" ht="15" thickBot="1" x14ac:dyDescent="0.25">
      <c r="C81" s="5"/>
      <c r="D81" s="8"/>
      <c r="E81" s="149"/>
      <c r="F81" s="142"/>
      <c r="G81" s="142"/>
      <c r="H81" s="142"/>
      <c r="I81" s="142"/>
      <c r="J81" s="142"/>
      <c r="K81" s="142"/>
      <c r="L81" s="142"/>
      <c r="M81" s="142"/>
      <c r="N81" s="142"/>
      <c r="O81" s="149"/>
      <c r="P81" s="142"/>
      <c r="Q81" s="142"/>
      <c r="R81" s="142"/>
      <c r="S81" s="142"/>
      <c r="T81" s="142"/>
      <c r="U81" s="142"/>
      <c r="V81" s="142"/>
      <c r="W81" s="142"/>
      <c r="X81" s="142"/>
      <c r="Y81" s="149"/>
      <c r="Z81" s="142"/>
      <c r="AA81" s="142"/>
      <c r="AB81" s="142"/>
      <c r="AC81" s="142"/>
      <c r="AD81" s="142"/>
      <c r="AE81" s="142"/>
      <c r="AF81" s="142"/>
      <c r="AG81" s="142"/>
      <c r="AH81" s="142"/>
      <c r="AI81" s="149"/>
      <c r="AJ81" s="142"/>
      <c r="AK81" s="142"/>
      <c r="AL81" s="142"/>
      <c r="AM81" s="142"/>
      <c r="AN81" s="142"/>
      <c r="AO81" s="142"/>
      <c r="AP81" s="142"/>
      <c r="AQ81" s="142"/>
      <c r="AR81" s="142"/>
      <c r="AS81" s="149"/>
      <c r="AT81" s="142"/>
      <c r="AU81" s="142"/>
      <c r="AV81" s="142"/>
      <c r="AW81" s="142"/>
      <c r="AX81" s="142"/>
      <c r="AY81" s="142"/>
      <c r="AZ81" s="142"/>
      <c r="BA81" s="142"/>
      <c r="BB81" s="142"/>
      <c r="BC81" s="149"/>
      <c r="BD81" s="142"/>
      <c r="BE81" s="142"/>
      <c r="BF81" s="142"/>
      <c r="BG81" s="142"/>
      <c r="BH81" s="142"/>
      <c r="BI81" s="142"/>
      <c r="BJ81" s="142"/>
      <c r="BK81" s="142"/>
      <c r="BL81" s="142"/>
      <c r="BM81" s="149"/>
      <c r="BN81" s="142"/>
      <c r="BO81" s="142"/>
      <c r="BP81" s="142"/>
      <c r="BQ81" s="142"/>
      <c r="BR81" s="142"/>
      <c r="BS81" s="142"/>
      <c r="BT81" s="142"/>
      <c r="BU81" s="142"/>
      <c r="BV81" s="142"/>
      <c r="BW81" s="149"/>
      <c r="BX81" s="142"/>
      <c r="BY81" s="142"/>
      <c r="BZ81" s="142"/>
      <c r="CA81" s="142"/>
      <c r="CB81" s="142"/>
      <c r="CC81" s="142"/>
      <c r="CD81" s="142"/>
      <c r="CE81" s="142"/>
      <c r="CF81" s="142"/>
      <c r="CG81" s="142"/>
      <c r="CH81" s="142"/>
      <c r="CI81" s="142"/>
      <c r="CJ81" s="149"/>
      <c r="CK81" s="142"/>
      <c r="CL81" s="142"/>
      <c r="CM81" s="142"/>
      <c r="CN81" s="149"/>
      <c r="CO81" s="142"/>
      <c r="CP81" s="142"/>
      <c r="CQ81" s="149"/>
      <c r="CR81" s="150"/>
    </row>
    <row r="82" spans="1:96" ht="17.25" thickBot="1" x14ac:dyDescent="0.25">
      <c r="A82" s="1">
        <v>40</v>
      </c>
      <c r="C82" s="30" t="s">
        <v>289</v>
      </c>
      <c r="D82" s="204">
        <v>1575</v>
      </c>
      <c r="E82" s="203"/>
      <c r="F82" s="152"/>
      <c r="G82" s="152"/>
      <c r="H82" s="152"/>
      <c r="I82" s="142"/>
      <c r="J82" s="152"/>
      <c r="K82" s="152"/>
      <c r="L82" s="152"/>
      <c r="M82" s="152"/>
      <c r="N82" s="142"/>
      <c r="O82" s="149"/>
      <c r="P82" s="152"/>
      <c r="Q82" s="152"/>
      <c r="R82" s="152"/>
      <c r="S82" s="142"/>
      <c r="T82" s="142"/>
      <c r="U82" s="152"/>
      <c r="V82" s="152"/>
      <c r="W82" s="152"/>
      <c r="X82" s="142"/>
      <c r="Y82" s="149"/>
      <c r="Z82" s="152"/>
      <c r="AA82" s="152"/>
      <c r="AB82" s="152"/>
      <c r="AC82" s="142"/>
      <c r="AD82" s="142"/>
      <c r="AE82" s="152"/>
      <c r="AF82" s="152"/>
      <c r="AG82" s="152"/>
      <c r="AH82" s="142"/>
      <c r="AI82" s="149"/>
      <c r="AJ82" s="152"/>
      <c r="AK82" s="152"/>
      <c r="AL82" s="152"/>
      <c r="AM82" s="142"/>
      <c r="AN82" s="142"/>
      <c r="AO82" s="152"/>
      <c r="AP82" s="152"/>
      <c r="AQ82" s="152"/>
      <c r="AR82" s="142"/>
      <c r="AS82" s="172"/>
      <c r="AT82" s="152"/>
      <c r="AU82" s="152"/>
      <c r="AV82" s="152"/>
      <c r="AW82" s="142"/>
      <c r="AX82" s="157"/>
      <c r="AY82" s="152"/>
      <c r="AZ82" s="152"/>
      <c r="BA82" s="152"/>
      <c r="BB82" s="143"/>
      <c r="BC82" s="172"/>
      <c r="BD82" s="152"/>
      <c r="BE82" s="152"/>
      <c r="BF82" s="152"/>
      <c r="BG82" s="142"/>
      <c r="BH82" s="157"/>
      <c r="BI82" s="152"/>
      <c r="BJ82" s="152"/>
      <c r="BK82" s="152"/>
      <c r="BL82" s="143"/>
      <c r="BM82" s="172"/>
      <c r="BN82" s="152"/>
      <c r="BO82" s="152"/>
      <c r="BP82" s="152"/>
      <c r="BQ82" s="142"/>
      <c r="BR82" s="157"/>
      <c r="BS82" s="152"/>
      <c r="BT82" s="152"/>
      <c r="BU82" s="152"/>
      <c r="BV82" s="143"/>
      <c r="BW82" s="172"/>
      <c r="BX82" s="152"/>
      <c r="BY82" s="152"/>
      <c r="BZ82" s="152"/>
      <c r="CA82" s="152"/>
      <c r="CB82" s="152"/>
      <c r="CC82" s="155"/>
      <c r="CD82" s="142">
        <f>BW82+BX82-BY82+SUM(BZ82:CC82)</f>
        <v>0</v>
      </c>
      <c r="CE82" s="157">
        <f>BV82</f>
        <v>0</v>
      </c>
      <c r="CF82" s="152"/>
      <c r="CG82" s="152"/>
      <c r="CH82" s="152"/>
      <c r="CI82" s="143">
        <f>CE82+CF82-CG82+CH82</f>
        <v>0</v>
      </c>
      <c r="CJ82" s="152"/>
      <c r="CK82" s="152"/>
      <c r="CL82" s="157">
        <f t="shared" ref="CL82" si="120">CD82-CJ82</f>
        <v>0</v>
      </c>
      <c r="CM82" s="173">
        <f t="shared" ref="CM82" si="121">CI82-CK82</f>
        <v>0</v>
      </c>
      <c r="CN82" s="152"/>
      <c r="CO82" s="152"/>
      <c r="CP82" s="137">
        <f>SUM(CL82:CO82)</f>
        <v>0</v>
      </c>
      <c r="CQ82" s="171"/>
      <c r="CR82" s="137">
        <f>CQ82-SUM(CD82,CI82)</f>
        <v>0</v>
      </c>
    </row>
    <row r="83" spans="1:96" ht="17.25" thickBot="1" x14ac:dyDescent="0.25">
      <c r="A83" s="1">
        <v>41</v>
      </c>
      <c r="C83" s="30" t="s">
        <v>290</v>
      </c>
      <c r="D83" s="204">
        <v>1576</v>
      </c>
      <c r="E83" s="203"/>
      <c r="F83" s="152"/>
      <c r="G83" s="152"/>
      <c r="H83" s="152"/>
      <c r="I83" s="142"/>
      <c r="J83" s="152"/>
      <c r="K83" s="152"/>
      <c r="L83" s="152"/>
      <c r="M83" s="152"/>
      <c r="N83" s="142"/>
      <c r="O83" s="149"/>
      <c r="P83" s="152"/>
      <c r="Q83" s="152"/>
      <c r="R83" s="152"/>
      <c r="S83" s="142"/>
      <c r="T83" s="142"/>
      <c r="U83" s="152"/>
      <c r="V83" s="152"/>
      <c r="W83" s="152"/>
      <c r="X83" s="142"/>
      <c r="Y83" s="149"/>
      <c r="Z83" s="152"/>
      <c r="AA83" s="152"/>
      <c r="AB83" s="152"/>
      <c r="AC83" s="142"/>
      <c r="AD83" s="142"/>
      <c r="AE83" s="152"/>
      <c r="AF83" s="152"/>
      <c r="AG83" s="152"/>
      <c r="AH83" s="142"/>
      <c r="AI83" s="149"/>
      <c r="AJ83" s="152"/>
      <c r="AK83" s="152"/>
      <c r="AL83" s="152"/>
      <c r="AM83" s="142"/>
      <c r="AN83" s="142"/>
      <c r="AO83" s="152"/>
      <c r="AP83" s="152"/>
      <c r="AQ83" s="152"/>
      <c r="AR83" s="142"/>
      <c r="AS83" s="144"/>
      <c r="AT83" s="152"/>
      <c r="AU83" s="152"/>
      <c r="AV83" s="152"/>
      <c r="AW83" s="142"/>
      <c r="AX83" s="145"/>
      <c r="AY83" s="152"/>
      <c r="AZ83" s="152"/>
      <c r="BA83" s="152"/>
      <c r="BB83" s="143"/>
      <c r="BC83" s="144"/>
      <c r="BD83" s="152"/>
      <c r="BE83" s="152"/>
      <c r="BF83" s="152"/>
      <c r="BG83" s="142"/>
      <c r="BH83" s="145"/>
      <c r="BI83" s="152"/>
      <c r="BJ83" s="152"/>
      <c r="BK83" s="152"/>
      <c r="BL83" s="143"/>
      <c r="BM83" s="144"/>
      <c r="BN83" s="152"/>
      <c r="BO83" s="152"/>
      <c r="BP83" s="152"/>
      <c r="BQ83" s="142"/>
      <c r="BR83" s="145"/>
      <c r="BS83" s="152"/>
      <c r="BT83" s="152"/>
      <c r="BU83" s="152"/>
      <c r="BV83" s="143"/>
      <c r="BW83" s="144"/>
      <c r="BX83" s="152"/>
      <c r="BY83" s="152"/>
      <c r="BZ83" s="152"/>
      <c r="CA83" s="152"/>
      <c r="CB83" s="152"/>
      <c r="CC83" s="141">
        <f>-1459700-397768</f>
        <v>-1857468</v>
      </c>
      <c r="CD83" s="142">
        <f>BW83+BX83-BY83+SUM(BZ83:CC83)</f>
        <v>-1857468</v>
      </c>
      <c r="CE83" s="145">
        <f>BV83</f>
        <v>0</v>
      </c>
      <c r="CF83" s="152"/>
      <c r="CG83" s="152"/>
      <c r="CH83" s="152"/>
      <c r="CI83" s="143">
        <f>CE83+CF83-CG83+CH83</f>
        <v>0</v>
      </c>
      <c r="CJ83" s="152"/>
      <c r="CK83" s="152"/>
      <c r="CL83" s="145">
        <f t="shared" ref="CL83" si="122">CD83-CJ83</f>
        <v>-1857468</v>
      </c>
      <c r="CM83" s="146">
        <f t="shared" ref="CM83" si="123">CI83-CK83</f>
        <v>0</v>
      </c>
      <c r="CN83" s="152"/>
      <c r="CO83" s="152"/>
      <c r="CP83" s="137">
        <f>SUM(CL83:CO83)</f>
        <v>-1857468</v>
      </c>
      <c r="CQ83" s="171">
        <v>0</v>
      </c>
      <c r="CR83" s="137">
        <f>CQ83-SUM(CD83,CI83)</f>
        <v>1857468</v>
      </c>
    </row>
    <row r="84" spans="1:96" ht="14.25" x14ac:dyDescent="0.2">
      <c r="C84" s="5"/>
      <c r="D84" s="8"/>
      <c r="E84" s="149"/>
      <c r="F84" s="142"/>
      <c r="G84" s="142"/>
      <c r="H84" s="142"/>
      <c r="I84" s="142"/>
      <c r="J84" s="142"/>
      <c r="K84" s="142"/>
      <c r="L84" s="142"/>
      <c r="M84" s="142"/>
      <c r="N84" s="142"/>
      <c r="O84" s="174"/>
      <c r="P84" s="142"/>
      <c r="Q84" s="142"/>
      <c r="R84" s="142"/>
      <c r="S84" s="142"/>
      <c r="T84" s="142"/>
      <c r="U84" s="142"/>
      <c r="V84" s="142"/>
      <c r="W84" s="142"/>
      <c r="X84" s="142"/>
      <c r="Y84" s="174"/>
      <c r="Z84" s="142"/>
      <c r="AA84" s="142"/>
      <c r="AB84" s="142"/>
      <c r="AC84" s="142"/>
      <c r="AD84" s="142"/>
      <c r="AE84" s="142"/>
      <c r="AF84" s="142"/>
      <c r="AG84" s="142"/>
      <c r="AH84" s="142"/>
      <c r="AI84" s="174"/>
      <c r="AJ84" s="142"/>
      <c r="AK84" s="142"/>
      <c r="AL84" s="142"/>
      <c r="AM84" s="142"/>
      <c r="AN84" s="142"/>
      <c r="AO84" s="142"/>
      <c r="AP84" s="142"/>
      <c r="AQ84" s="142"/>
      <c r="AR84" s="142"/>
      <c r="AS84" s="175"/>
      <c r="AT84" s="142"/>
      <c r="AU84" s="142"/>
      <c r="AV84" s="142"/>
      <c r="AW84" s="142"/>
      <c r="AX84" s="142"/>
      <c r="AY84" s="142"/>
      <c r="AZ84" s="142"/>
      <c r="BA84" s="142"/>
      <c r="BB84" s="142"/>
      <c r="BC84" s="174"/>
      <c r="BD84" s="142"/>
      <c r="BE84" s="142"/>
      <c r="BF84" s="142"/>
      <c r="BG84" s="142"/>
      <c r="BH84" s="142"/>
      <c r="BI84" s="142"/>
      <c r="BJ84" s="142"/>
      <c r="BK84" s="142"/>
      <c r="BL84" s="142"/>
      <c r="BM84" s="174"/>
      <c r="BN84" s="142"/>
      <c r="BO84" s="142"/>
      <c r="BP84" s="142"/>
      <c r="BQ84" s="142"/>
      <c r="BR84" s="142"/>
      <c r="BS84" s="142"/>
      <c r="BT84" s="142"/>
      <c r="BU84" s="142"/>
      <c r="BV84" s="142"/>
      <c r="BW84" s="174"/>
      <c r="BX84" s="142"/>
      <c r="BY84" s="142"/>
      <c r="BZ84" s="142"/>
      <c r="CA84" s="142"/>
      <c r="CB84" s="142"/>
      <c r="CC84" s="142"/>
      <c r="CD84" s="142"/>
      <c r="CE84" s="142"/>
      <c r="CF84" s="142"/>
      <c r="CG84" s="142"/>
      <c r="CH84" s="142"/>
      <c r="CI84" s="142"/>
      <c r="CJ84" s="174"/>
      <c r="CK84" s="142"/>
      <c r="CL84" s="142"/>
      <c r="CM84" s="142"/>
      <c r="CN84" s="174"/>
      <c r="CO84" s="142"/>
      <c r="CP84" s="137"/>
      <c r="CQ84" s="142"/>
      <c r="CR84" s="138"/>
    </row>
    <row r="85" spans="1:96" ht="15.75" thickBot="1" x14ac:dyDescent="0.3">
      <c r="C85" s="4" t="s">
        <v>35</v>
      </c>
      <c r="D85" s="5"/>
      <c r="E85" s="129"/>
      <c r="F85" s="130"/>
      <c r="G85" s="130"/>
      <c r="H85" s="130"/>
      <c r="I85" s="142"/>
      <c r="J85" s="130"/>
      <c r="K85" s="130"/>
      <c r="L85" s="130"/>
      <c r="M85" s="130"/>
      <c r="N85" s="143"/>
      <c r="O85" s="129"/>
      <c r="P85" s="130"/>
      <c r="Q85" s="130"/>
      <c r="R85" s="130"/>
      <c r="S85" s="142"/>
      <c r="T85" s="130"/>
      <c r="U85" s="130"/>
      <c r="V85" s="130"/>
      <c r="W85" s="130"/>
      <c r="X85" s="143"/>
      <c r="Y85" s="129"/>
      <c r="Z85" s="130"/>
      <c r="AA85" s="130"/>
      <c r="AB85" s="130"/>
      <c r="AC85" s="142"/>
      <c r="AD85" s="130"/>
      <c r="AE85" s="130"/>
      <c r="AF85" s="130"/>
      <c r="AG85" s="130"/>
      <c r="AH85" s="143"/>
      <c r="AI85" s="129"/>
      <c r="AJ85" s="130"/>
      <c r="AK85" s="130"/>
      <c r="AL85" s="130"/>
      <c r="AM85" s="142"/>
      <c r="AN85" s="130"/>
      <c r="AO85" s="130"/>
      <c r="AP85" s="130"/>
      <c r="AQ85" s="130"/>
      <c r="AR85" s="143"/>
      <c r="AS85" s="129"/>
      <c r="AT85" s="130"/>
      <c r="AU85" s="130"/>
      <c r="AV85" s="130"/>
      <c r="AW85" s="142"/>
      <c r="AX85" s="130"/>
      <c r="AY85" s="130"/>
      <c r="AZ85" s="130"/>
      <c r="BA85" s="130"/>
      <c r="BB85" s="143"/>
      <c r="BC85" s="129"/>
      <c r="BD85" s="130"/>
      <c r="BE85" s="130"/>
      <c r="BF85" s="130"/>
      <c r="BG85" s="142"/>
      <c r="BH85" s="130"/>
      <c r="BI85" s="130"/>
      <c r="BJ85" s="130"/>
      <c r="BK85" s="130"/>
      <c r="BL85" s="143"/>
      <c r="BM85" s="129"/>
      <c r="BN85" s="130"/>
      <c r="BO85" s="130"/>
      <c r="BP85" s="130"/>
      <c r="BQ85" s="142"/>
      <c r="BR85" s="130"/>
      <c r="BS85" s="130"/>
      <c r="BT85" s="130"/>
      <c r="BU85" s="130"/>
      <c r="BV85" s="143"/>
      <c r="BW85" s="129"/>
      <c r="BX85" s="130"/>
      <c r="BY85" s="130"/>
      <c r="BZ85" s="130"/>
      <c r="CA85" s="130"/>
      <c r="CB85" s="130"/>
      <c r="CC85" s="130"/>
      <c r="CD85" s="142"/>
      <c r="CE85" s="130"/>
      <c r="CF85" s="130"/>
      <c r="CG85" s="130"/>
      <c r="CH85" s="130"/>
      <c r="CI85" s="143"/>
      <c r="CJ85" s="129"/>
      <c r="CK85" s="130"/>
      <c r="CL85" s="130"/>
      <c r="CM85" s="176"/>
      <c r="CN85" s="136"/>
      <c r="CO85" s="136"/>
      <c r="CP85" s="137"/>
      <c r="CQ85" s="138"/>
      <c r="CR85" s="137"/>
    </row>
    <row r="86" spans="1:96" ht="17.25" thickBot="1" x14ac:dyDescent="0.25">
      <c r="A86" s="1">
        <v>42</v>
      </c>
      <c r="C86" s="5" t="s">
        <v>106</v>
      </c>
      <c r="D86" s="8">
        <v>1563</v>
      </c>
      <c r="E86" s="140"/>
      <c r="F86" s="141"/>
      <c r="G86" s="141"/>
      <c r="H86" s="141"/>
      <c r="I86" s="142">
        <f>E86+F86-G86+H86</f>
        <v>0</v>
      </c>
      <c r="J86" s="141"/>
      <c r="K86" s="141"/>
      <c r="L86" s="141"/>
      <c r="M86" s="141"/>
      <c r="N86" s="143">
        <f>J86+K86-L86+M86</f>
        <v>0</v>
      </c>
      <c r="O86" s="144">
        <f>I86</f>
        <v>0</v>
      </c>
      <c r="P86" s="141"/>
      <c r="Q86" s="141"/>
      <c r="R86" s="141"/>
      <c r="S86" s="142">
        <f>O86+P86-Q86+R86</f>
        <v>0</v>
      </c>
      <c r="T86" s="145">
        <f>N86</f>
        <v>0</v>
      </c>
      <c r="U86" s="141"/>
      <c r="V86" s="141"/>
      <c r="W86" s="141"/>
      <c r="X86" s="143">
        <f>T86+U86-V86+W86</f>
        <v>0</v>
      </c>
      <c r="Y86" s="144">
        <f>S86</f>
        <v>0</v>
      </c>
      <c r="Z86" s="141"/>
      <c r="AA86" s="141"/>
      <c r="AB86" s="141"/>
      <c r="AC86" s="142">
        <f>Y86+Z86-AA86+AB86</f>
        <v>0</v>
      </c>
      <c r="AD86" s="145">
        <f>X86</f>
        <v>0</v>
      </c>
      <c r="AE86" s="141"/>
      <c r="AF86" s="141"/>
      <c r="AG86" s="141"/>
      <c r="AH86" s="143">
        <f>AD86+AE86-AF86+AG86</f>
        <v>0</v>
      </c>
      <c r="AI86" s="144">
        <f>AC86</f>
        <v>0</v>
      </c>
      <c r="AJ86" s="141"/>
      <c r="AK86" s="141"/>
      <c r="AL86" s="141"/>
      <c r="AM86" s="142">
        <f>AI86+AJ86-AK86+AL86</f>
        <v>0</v>
      </c>
      <c r="AN86" s="145">
        <f>AH86</f>
        <v>0</v>
      </c>
      <c r="AO86" s="141"/>
      <c r="AP86" s="141"/>
      <c r="AQ86" s="141"/>
      <c r="AR86" s="143">
        <f>AN86+AO86-AP86+AQ86</f>
        <v>0</v>
      </c>
      <c r="AS86" s="144">
        <f>AM86</f>
        <v>0</v>
      </c>
      <c r="AT86" s="141"/>
      <c r="AU86" s="141"/>
      <c r="AV86" s="141"/>
      <c r="AW86" s="142">
        <f>AS86+AT86-AU86+AV86</f>
        <v>0</v>
      </c>
      <c r="AX86" s="145">
        <f>AR86</f>
        <v>0</v>
      </c>
      <c r="AY86" s="141"/>
      <c r="AZ86" s="141"/>
      <c r="BA86" s="141"/>
      <c r="BB86" s="143">
        <f>AX86+AY86-AZ86+BA86</f>
        <v>0</v>
      </c>
      <c r="BC86" s="144">
        <f>AW86</f>
        <v>0</v>
      </c>
      <c r="BD86" s="141"/>
      <c r="BE86" s="141"/>
      <c r="BF86" s="141"/>
      <c r="BG86" s="142">
        <f>BC86+BD86-BE86+SUM(BF86:BF86)</f>
        <v>0</v>
      </c>
      <c r="BH86" s="145">
        <f>BB86</f>
        <v>0</v>
      </c>
      <c r="BI86" s="141"/>
      <c r="BJ86" s="141"/>
      <c r="BK86" s="141"/>
      <c r="BL86" s="143">
        <f>BH86+BI86-BJ86+BK86</f>
        <v>0</v>
      </c>
      <c r="BM86" s="144">
        <f>BG86</f>
        <v>0</v>
      </c>
      <c r="BN86" s="141"/>
      <c r="BO86" s="141"/>
      <c r="BP86" s="141"/>
      <c r="BQ86" s="142">
        <f>BM86+BN86-BO86+SUM(BP86:BP86)</f>
        <v>0</v>
      </c>
      <c r="BR86" s="145">
        <f>BL86</f>
        <v>0</v>
      </c>
      <c r="BS86" s="141"/>
      <c r="BT86" s="141"/>
      <c r="BU86" s="141"/>
      <c r="BV86" s="143">
        <f>BR86+BS86-BT86+BU86</f>
        <v>0</v>
      </c>
      <c r="BW86" s="144">
        <f>BQ86</f>
        <v>0</v>
      </c>
      <c r="BX86" s="141"/>
      <c r="BY86" s="141"/>
      <c r="BZ86" s="141"/>
      <c r="CA86" s="141"/>
      <c r="CB86" s="141"/>
      <c r="CC86" s="141"/>
      <c r="CD86" s="142">
        <f>BW86+BX86-BY86+SUM(BZ86:CC86)</f>
        <v>0</v>
      </c>
      <c r="CE86" s="145">
        <f>BV86</f>
        <v>0</v>
      </c>
      <c r="CF86" s="141"/>
      <c r="CG86" s="141"/>
      <c r="CH86" s="141"/>
      <c r="CI86" s="143">
        <f>CE86+CF86-CG86+CH86</f>
        <v>0</v>
      </c>
      <c r="CJ86" s="140"/>
      <c r="CK86" s="141"/>
      <c r="CL86" s="145">
        <f t="shared" ref="CL86" si="124">CD86-CJ86</f>
        <v>0</v>
      </c>
      <c r="CM86" s="146">
        <f t="shared" ref="CM86" si="125">CI86-CK86</f>
        <v>0</v>
      </c>
      <c r="CN86" s="147"/>
      <c r="CO86" s="141"/>
      <c r="CP86" s="137">
        <f t="shared" si="32"/>
        <v>0</v>
      </c>
      <c r="CQ86" s="148"/>
      <c r="CR86" s="137">
        <f t="shared" si="33"/>
        <v>0</v>
      </c>
    </row>
    <row r="87" spans="1:96" ht="29.25" thickBot="1" x14ac:dyDescent="0.25">
      <c r="A87" s="1">
        <v>43</v>
      </c>
      <c r="C87" s="30" t="s">
        <v>72</v>
      </c>
      <c r="D87" s="31">
        <v>1592</v>
      </c>
      <c r="E87" s="140"/>
      <c r="F87" s="141"/>
      <c r="G87" s="141"/>
      <c r="H87" s="141"/>
      <c r="I87" s="142">
        <f>E87+F87-G87+H87</f>
        <v>0</v>
      </c>
      <c r="J87" s="141"/>
      <c r="K87" s="141"/>
      <c r="L87" s="141"/>
      <c r="M87" s="141"/>
      <c r="N87" s="143">
        <f>J87+K87-L87+M87</f>
        <v>0</v>
      </c>
      <c r="O87" s="144">
        <f>I87</f>
        <v>0</v>
      </c>
      <c r="P87" s="141"/>
      <c r="Q87" s="141"/>
      <c r="R87" s="141"/>
      <c r="S87" s="142">
        <f>O87+P87-Q87+R87</f>
        <v>0</v>
      </c>
      <c r="T87" s="145">
        <f>N87</f>
        <v>0</v>
      </c>
      <c r="U87" s="141"/>
      <c r="V87" s="141"/>
      <c r="W87" s="141"/>
      <c r="X87" s="143">
        <f>T87+U87-V87+W87</f>
        <v>0</v>
      </c>
      <c r="Y87" s="144">
        <f>S87</f>
        <v>0</v>
      </c>
      <c r="Z87" s="141"/>
      <c r="AA87" s="141"/>
      <c r="AB87" s="141"/>
      <c r="AC87" s="142">
        <f>Y87+Z87-AA87+AB87</f>
        <v>0</v>
      </c>
      <c r="AD87" s="145">
        <f>X87</f>
        <v>0</v>
      </c>
      <c r="AE87" s="141"/>
      <c r="AF87" s="141"/>
      <c r="AG87" s="141"/>
      <c r="AH87" s="143">
        <f>AD87+AE87-AF87+AG87</f>
        <v>0</v>
      </c>
      <c r="AI87" s="144">
        <f>AC87</f>
        <v>0</v>
      </c>
      <c r="AJ87" s="141"/>
      <c r="AK87" s="141"/>
      <c r="AL87" s="141"/>
      <c r="AM87" s="142">
        <f>AI87+AJ87-AK87+AL87</f>
        <v>0</v>
      </c>
      <c r="AN87" s="145">
        <f>AH87</f>
        <v>0</v>
      </c>
      <c r="AO87" s="141"/>
      <c r="AP87" s="141"/>
      <c r="AQ87" s="141"/>
      <c r="AR87" s="143">
        <f>AN87+AO87-AP87+AQ87</f>
        <v>0</v>
      </c>
      <c r="AS87" s="144">
        <f>AM87</f>
        <v>0</v>
      </c>
      <c r="AT87" s="141"/>
      <c r="AU87" s="141"/>
      <c r="AV87" s="141"/>
      <c r="AW87" s="142">
        <f>AS87+AT87-AU87+AV87</f>
        <v>0</v>
      </c>
      <c r="AX87" s="145">
        <f>AR87</f>
        <v>0</v>
      </c>
      <c r="AY87" s="141"/>
      <c r="AZ87" s="141"/>
      <c r="BA87" s="141"/>
      <c r="BB87" s="143">
        <f>AX87+AY87-AZ87+BA87</f>
        <v>0</v>
      </c>
      <c r="BC87" s="144">
        <f>AW87</f>
        <v>0</v>
      </c>
      <c r="BD87" s="141">
        <v>22307.69</v>
      </c>
      <c r="BE87" s="141"/>
      <c r="BF87" s="141"/>
      <c r="BG87" s="142">
        <f>BC87+BD87-BE87+SUM(BF87:BF87)</f>
        <v>22307.69</v>
      </c>
      <c r="BH87" s="145">
        <f>BB87</f>
        <v>0</v>
      </c>
      <c r="BI87" s="141"/>
      <c r="BJ87" s="141"/>
      <c r="BK87" s="141"/>
      <c r="BL87" s="143">
        <f>BH87+BI87-BJ87+BK87</f>
        <v>0</v>
      </c>
      <c r="BM87" s="144">
        <f>BG87</f>
        <v>22307.69</v>
      </c>
      <c r="BN87" s="141">
        <v>47166.63</v>
      </c>
      <c r="BO87" s="141"/>
      <c r="BP87" s="141"/>
      <c r="BQ87" s="142">
        <f>BM87+BN87-BO87+SUM(BP87:BP87)</f>
        <v>69474.319999999992</v>
      </c>
      <c r="BR87" s="145">
        <f>BL87</f>
        <v>0</v>
      </c>
      <c r="BS87" s="141"/>
      <c r="BT87" s="141"/>
      <c r="BU87" s="141"/>
      <c r="BV87" s="143">
        <f>BR87+BS87-BT87+BU87</f>
        <v>0</v>
      </c>
      <c r="BW87" s="144">
        <f>BQ87</f>
        <v>69474.319999999992</v>
      </c>
      <c r="BX87" s="141">
        <v>39746.21</v>
      </c>
      <c r="BY87" s="141"/>
      <c r="BZ87" s="141"/>
      <c r="CA87" s="141"/>
      <c r="CB87" s="141"/>
      <c r="CC87" s="141">
        <f>40119.19+(3672.36*4)+137983.13</f>
        <v>192791.76</v>
      </c>
      <c r="CD87" s="142">
        <f>BW87+BX87-BY87+SUM(BZ87:CC87)</f>
        <v>302012.29000000004</v>
      </c>
      <c r="CE87" s="145">
        <f>BV87</f>
        <v>0</v>
      </c>
      <c r="CF87" s="141"/>
      <c r="CG87" s="141"/>
      <c r="CH87" s="141">
        <v>3069.64</v>
      </c>
      <c r="CI87" s="143">
        <f>CE87+CF87-CG87+CH87</f>
        <v>3069.64</v>
      </c>
      <c r="CJ87" s="140"/>
      <c r="CK87" s="141"/>
      <c r="CL87" s="145">
        <f t="shared" ref="CL87" si="126">CD87-CJ87</f>
        <v>302012.29000000004</v>
      </c>
      <c r="CM87" s="146">
        <f t="shared" ref="CM87" si="127">CI87-CK87</f>
        <v>3069.64</v>
      </c>
      <c r="CN87" s="147">
        <v>3292.24</v>
      </c>
      <c r="CO87" s="141">
        <v>1385.14</v>
      </c>
      <c r="CP87" s="137">
        <f t="shared" si="32"/>
        <v>309759.31000000006</v>
      </c>
      <c r="CQ87" s="148">
        <v>0</v>
      </c>
      <c r="CR87" s="137">
        <f t="shared" si="33"/>
        <v>-305081.93000000005</v>
      </c>
    </row>
    <row r="88" spans="1:96" ht="17.25" thickBot="1" x14ac:dyDescent="0.25">
      <c r="A88" s="1">
        <v>44</v>
      </c>
      <c r="C88" s="5" t="s">
        <v>108</v>
      </c>
      <c r="D88" s="8">
        <v>1595</v>
      </c>
      <c r="E88" s="177"/>
      <c r="F88" s="178"/>
      <c r="G88" s="178"/>
      <c r="H88" s="178"/>
      <c r="I88" s="179">
        <f>E88+F88-G88+H88</f>
        <v>0</v>
      </c>
      <c r="J88" s="178"/>
      <c r="K88" s="178"/>
      <c r="L88" s="178"/>
      <c r="M88" s="178"/>
      <c r="N88" s="180">
        <f>J88+K88-L88+M88</f>
        <v>0</v>
      </c>
      <c r="O88" s="181">
        <f>I88</f>
        <v>0</v>
      </c>
      <c r="P88" s="178"/>
      <c r="Q88" s="178"/>
      <c r="R88" s="178"/>
      <c r="S88" s="179">
        <f>O88+P88-Q88+R88</f>
        <v>0</v>
      </c>
      <c r="T88" s="182">
        <f>N88</f>
        <v>0</v>
      </c>
      <c r="U88" s="178"/>
      <c r="V88" s="178"/>
      <c r="W88" s="178"/>
      <c r="X88" s="183">
        <f>T88+U88-V88+W88</f>
        <v>0</v>
      </c>
      <c r="Y88" s="181">
        <f>S88</f>
        <v>0</v>
      </c>
      <c r="Z88" s="178"/>
      <c r="AA88" s="178"/>
      <c r="AB88" s="178"/>
      <c r="AC88" s="183">
        <f>Y88+Z88-AA88+AB88</f>
        <v>0</v>
      </c>
      <c r="AD88" s="182">
        <f>X88</f>
        <v>0</v>
      </c>
      <c r="AE88" s="178"/>
      <c r="AF88" s="178"/>
      <c r="AG88" s="178"/>
      <c r="AH88" s="183">
        <f>AD88+AE88-AF88+AG88</f>
        <v>0</v>
      </c>
      <c r="AI88" s="181">
        <f>AC88</f>
        <v>0</v>
      </c>
      <c r="AJ88" s="178"/>
      <c r="AK88" s="178"/>
      <c r="AL88" s="178"/>
      <c r="AM88" s="182">
        <f>AI88+AJ88-AK88+AL88</f>
        <v>0</v>
      </c>
      <c r="AN88" s="182">
        <f>AH88</f>
        <v>0</v>
      </c>
      <c r="AO88" s="178"/>
      <c r="AP88" s="178"/>
      <c r="AQ88" s="178"/>
      <c r="AR88" s="183">
        <f>AN88+AO88-AP88+AQ88</f>
        <v>0</v>
      </c>
      <c r="AS88" s="181">
        <f>AM88</f>
        <v>0</v>
      </c>
      <c r="AT88" s="178"/>
      <c r="AU88" s="178"/>
      <c r="AV88" s="178"/>
      <c r="AW88" s="184">
        <f>AS88+AT88-AU88+AV88</f>
        <v>0</v>
      </c>
      <c r="AX88" s="185">
        <f>AR88</f>
        <v>0</v>
      </c>
      <c r="AY88" s="178"/>
      <c r="AZ88" s="178"/>
      <c r="BA88" s="178"/>
      <c r="BB88" s="183">
        <f>AX88+AY88-AZ88+BA88</f>
        <v>0</v>
      </c>
      <c r="BC88" s="181">
        <f>AW88</f>
        <v>0</v>
      </c>
      <c r="BD88" s="178"/>
      <c r="BE88" s="178"/>
      <c r="BF88" s="178"/>
      <c r="BG88" s="179">
        <f>BC88+BD88-BE88+SUM(BF88:BF88)</f>
        <v>0</v>
      </c>
      <c r="BH88" s="182">
        <f>BB88</f>
        <v>0</v>
      </c>
      <c r="BI88" s="178"/>
      <c r="BJ88" s="178"/>
      <c r="BK88" s="178"/>
      <c r="BL88" s="180">
        <f>BH88+BI88-BJ88+BK88</f>
        <v>0</v>
      </c>
      <c r="BM88" s="181">
        <f>BG88</f>
        <v>0</v>
      </c>
      <c r="BN88" s="178"/>
      <c r="BO88" s="178"/>
      <c r="BP88" s="178"/>
      <c r="BQ88" s="179">
        <f>BM88+BN88-BO88+SUM(BP88:BP88)</f>
        <v>0</v>
      </c>
      <c r="BR88" s="182">
        <f>BL88</f>
        <v>0</v>
      </c>
      <c r="BS88" s="178"/>
      <c r="BT88" s="178"/>
      <c r="BU88" s="178"/>
      <c r="BV88" s="180">
        <f>BR88+BS88-BT88+BU88</f>
        <v>0</v>
      </c>
      <c r="BW88" s="181">
        <f>BQ88</f>
        <v>0</v>
      </c>
      <c r="BX88" s="178">
        <f>446749.93-729003.29-390706.61+304851.09-598971+66575.01</f>
        <v>-900504.86999999988</v>
      </c>
      <c r="BY88" s="178"/>
      <c r="BZ88" s="178"/>
      <c r="CA88" s="178"/>
      <c r="CB88" s="178"/>
      <c r="CC88" s="178"/>
      <c r="CD88" s="179">
        <f>BW88+BX88-BY88+SUM(BZ88:CC88)</f>
        <v>-900504.86999999988</v>
      </c>
      <c r="CE88" s="182">
        <f>BV88</f>
        <v>0</v>
      </c>
      <c r="CF88" s="178">
        <f>-17630.5-5490.22-11829.95-2733.2-106952-2156.35</f>
        <v>-146792.22</v>
      </c>
      <c r="CG88" s="178"/>
      <c r="CH88" s="178"/>
      <c r="CI88" s="180">
        <f>CE88+CF88-CG88+CH88</f>
        <v>-146792.22</v>
      </c>
      <c r="CJ88" s="186"/>
      <c r="CK88" s="187"/>
      <c r="CL88" s="145">
        <f t="shared" ref="CL88" si="128">CD88-CJ88</f>
        <v>-900504.86999999988</v>
      </c>
      <c r="CM88" s="146">
        <f t="shared" ref="CM88" si="129">CI88-CK88</f>
        <v>-146792.22</v>
      </c>
      <c r="CN88" s="188"/>
      <c r="CO88" s="178"/>
      <c r="CP88" s="189">
        <f t="shared" si="32"/>
        <v>-1047297.0899999999</v>
      </c>
      <c r="CQ88" s="190">
        <f>-282253.36-23120.72-85855.52-14563.15-532395.99-109108.35</f>
        <v>-1047297.09</v>
      </c>
      <c r="CR88" s="191">
        <f t="shared" si="33"/>
        <v>0</v>
      </c>
    </row>
    <row r="91" spans="1:96" ht="30.75" customHeight="1" x14ac:dyDescent="0.2">
      <c r="B91" s="2"/>
      <c r="C91" s="264" t="s">
        <v>79</v>
      </c>
      <c r="D91" s="264"/>
      <c r="E91" s="264"/>
      <c r="F91" s="264"/>
      <c r="G91" s="264"/>
      <c r="H91" s="264"/>
    </row>
    <row r="92" spans="1:96" ht="16.5" x14ac:dyDescent="0.2">
      <c r="B92" s="18">
        <v>1</v>
      </c>
      <c r="C92" s="19" t="s">
        <v>56</v>
      </c>
      <c r="E92" s="192"/>
      <c r="F92" s="193"/>
      <c r="G92" s="193"/>
      <c r="H92" s="142"/>
      <c r="I92" s="193"/>
      <c r="J92" s="193"/>
      <c r="K92" s="142"/>
      <c r="L92" s="142"/>
      <c r="M92" s="142"/>
      <c r="N92" s="142"/>
      <c r="O92" s="194"/>
      <c r="P92" s="194"/>
      <c r="Q92" s="194"/>
      <c r="R92" s="194"/>
      <c r="V92" s="142"/>
      <c r="W92" s="142"/>
      <c r="AF92" s="142"/>
      <c r="AG92" s="142"/>
      <c r="AP92" s="142"/>
      <c r="AQ92" s="142"/>
      <c r="AZ92" s="142"/>
      <c r="BA92" s="142"/>
      <c r="BJ92" s="142"/>
      <c r="BK92" s="142"/>
      <c r="BT92" s="142"/>
      <c r="BU92" s="142"/>
      <c r="CG92" s="142"/>
      <c r="CH92" s="142"/>
      <c r="CJ92" s="142"/>
      <c r="CK92" s="142"/>
      <c r="CL92" s="142"/>
      <c r="CM92" s="142"/>
    </row>
    <row r="93" spans="1:96" ht="16.5" x14ac:dyDescent="0.2">
      <c r="B93" s="20" t="s">
        <v>90</v>
      </c>
      <c r="C93" s="19" t="s">
        <v>69</v>
      </c>
      <c r="E93" s="192"/>
      <c r="F93" s="193"/>
      <c r="G93" s="193"/>
      <c r="H93" s="142"/>
      <c r="I93" s="193"/>
      <c r="J93" s="193"/>
      <c r="K93" s="142"/>
      <c r="L93" s="142"/>
      <c r="M93" s="142"/>
      <c r="N93" s="142"/>
      <c r="O93" s="194"/>
      <c r="P93" s="194"/>
      <c r="Q93" s="194"/>
      <c r="R93" s="194"/>
      <c r="V93" s="142"/>
      <c r="W93" s="142"/>
      <c r="AF93" s="142"/>
      <c r="AG93" s="142"/>
      <c r="AP93" s="142"/>
      <c r="AQ93" s="142"/>
      <c r="AZ93" s="142"/>
      <c r="BA93" s="142"/>
      <c r="BJ93" s="142"/>
      <c r="BK93" s="142"/>
      <c r="BT93" s="142"/>
      <c r="BU93" s="142"/>
      <c r="CG93" s="142"/>
      <c r="CH93" s="142"/>
      <c r="CJ93" s="142"/>
      <c r="CK93" s="142"/>
      <c r="CL93" s="142"/>
      <c r="CM93" s="142"/>
      <c r="CR93" s="195"/>
    </row>
    <row r="94" spans="1:96" ht="16.5" x14ac:dyDescent="0.2">
      <c r="B94" s="18">
        <v>2</v>
      </c>
      <c r="C94" s="1" t="s">
        <v>58</v>
      </c>
      <c r="E94" s="192"/>
      <c r="F94" s="193"/>
      <c r="G94" s="193"/>
      <c r="H94" s="142"/>
      <c r="I94" s="193"/>
      <c r="J94" s="193"/>
      <c r="K94" s="142"/>
      <c r="L94" s="142"/>
      <c r="M94" s="142"/>
      <c r="N94" s="142"/>
      <c r="O94" s="194"/>
      <c r="P94" s="194"/>
      <c r="Q94" s="194"/>
      <c r="R94" s="194"/>
      <c r="V94" s="142"/>
      <c r="W94" s="142"/>
      <c r="AF94" s="142"/>
      <c r="AG94" s="142"/>
      <c r="AP94" s="142"/>
      <c r="AQ94" s="142"/>
      <c r="AZ94" s="142"/>
      <c r="BA94" s="142"/>
      <c r="BJ94" s="142"/>
      <c r="BK94" s="142"/>
      <c r="BT94" s="142"/>
      <c r="BU94" s="142"/>
      <c r="CG94" s="142"/>
      <c r="CH94" s="142"/>
      <c r="CJ94" s="142"/>
      <c r="CK94" s="142"/>
      <c r="CL94" s="142"/>
      <c r="CM94" s="142"/>
    </row>
    <row r="95" spans="1:96" ht="16.5" x14ac:dyDescent="0.2">
      <c r="B95" s="18">
        <v>3</v>
      </c>
      <c r="C95" s="19" t="s">
        <v>57</v>
      </c>
      <c r="E95" s="192"/>
      <c r="F95" s="193"/>
      <c r="G95" s="193"/>
      <c r="H95" s="142"/>
      <c r="I95" s="193"/>
      <c r="J95" s="193"/>
      <c r="K95" s="142"/>
      <c r="L95" s="142"/>
      <c r="M95" s="142"/>
      <c r="N95" s="142"/>
      <c r="O95" s="194"/>
      <c r="P95" s="194"/>
      <c r="Q95" s="194"/>
      <c r="R95" s="194"/>
      <c r="V95" s="142"/>
      <c r="W95" s="142"/>
      <c r="AF95" s="142"/>
      <c r="AG95" s="142"/>
      <c r="AP95" s="142"/>
      <c r="AQ95" s="142"/>
      <c r="AZ95" s="142"/>
      <c r="BA95" s="142"/>
      <c r="BJ95" s="142"/>
      <c r="BK95" s="142"/>
      <c r="BT95" s="142"/>
      <c r="BU95" s="142"/>
      <c r="CG95" s="142"/>
      <c r="CH95" s="142"/>
      <c r="CJ95" s="142"/>
      <c r="CK95" s="142"/>
      <c r="CL95" s="142"/>
      <c r="CM95" s="142"/>
    </row>
    <row r="96" spans="1:96" ht="16.5" x14ac:dyDescent="0.2">
      <c r="B96" s="18">
        <v>4</v>
      </c>
      <c r="C96" s="19" t="s">
        <v>20</v>
      </c>
      <c r="E96" s="193"/>
      <c r="F96" s="193"/>
      <c r="G96" s="193"/>
      <c r="H96" s="142"/>
      <c r="I96" s="193"/>
      <c r="J96" s="193"/>
      <c r="K96" s="142"/>
      <c r="L96" s="142"/>
      <c r="M96" s="142"/>
      <c r="N96" s="142"/>
      <c r="O96" s="194"/>
      <c r="P96" s="194"/>
      <c r="Q96" s="194"/>
      <c r="R96" s="194"/>
      <c r="V96" s="142"/>
      <c r="W96" s="142"/>
      <c r="AF96" s="142"/>
      <c r="AG96" s="142"/>
      <c r="AP96" s="142"/>
      <c r="AQ96" s="142"/>
      <c r="AZ96" s="142"/>
      <c r="BA96" s="142"/>
      <c r="BJ96" s="142"/>
      <c r="BK96" s="142"/>
      <c r="BT96" s="142"/>
      <c r="BU96" s="142"/>
      <c r="CG96" s="142"/>
      <c r="CH96" s="142"/>
      <c r="CJ96" s="142"/>
      <c r="CK96" s="142"/>
      <c r="CL96" s="142"/>
      <c r="CM96" s="142"/>
    </row>
    <row r="97" spans="2:91" ht="16.5" x14ac:dyDescent="0.2">
      <c r="B97" s="18">
        <v>5</v>
      </c>
      <c r="C97" s="19" t="s">
        <v>21</v>
      </c>
      <c r="E97" s="193"/>
      <c r="F97" s="193"/>
      <c r="G97" s="193"/>
      <c r="H97" s="142"/>
      <c r="I97" s="193"/>
      <c r="J97" s="193"/>
      <c r="K97" s="142"/>
      <c r="L97" s="142"/>
      <c r="M97" s="142"/>
      <c r="N97" s="142"/>
      <c r="O97" s="196"/>
      <c r="P97" s="196"/>
      <c r="Q97" s="196"/>
      <c r="R97" s="196"/>
      <c r="V97" s="142"/>
      <c r="W97" s="142"/>
      <c r="AF97" s="142"/>
      <c r="AG97" s="142"/>
      <c r="AP97" s="142"/>
      <c r="AQ97" s="142"/>
      <c r="AZ97" s="142"/>
      <c r="BA97" s="142"/>
      <c r="BJ97" s="142"/>
      <c r="BK97" s="142"/>
      <c r="BT97" s="142"/>
      <c r="BU97" s="142"/>
      <c r="CG97" s="142"/>
      <c r="CH97" s="142"/>
      <c r="CJ97" s="142"/>
      <c r="CK97" s="142"/>
      <c r="CL97" s="142"/>
      <c r="CM97" s="142"/>
    </row>
    <row r="98" spans="2:91" ht="16.5" customHeight="1" x14ac:dyDescent="0.2">
      <c r="B98" s="18">
        <v>6</v>
      </c>
      <c r="C98" s="257" t="s">
        <v>115</v>
      </c>
      <c r="D98" s="257"/>
      <c r="E98" s="257"/>
      <c r="F98" s="257"/>
      <c r="G98" s="257"/>
      <c r="H98" s="257"/>
      <c r="I98" s="193"/>
      <c r="J98" s="193"/>
      <c r="K98" s="142"/>
      <c r="L98" s="142"/>
      <c r="M98" s="142"/>
      <c r="N98" s="142"/>
      <c r="O98" s="197"/>
      <c r="P98" s="197"/>
      <c r="Q98" s="197"/>
      <c r="R98" s="197"/>
      <c r="V98" s="142"/>
      <c r="W98" s="142"/>
      <c r="AF98" s="142"/>
      <c r="AG98" s="142"/>
      <c r="AP98" s="142"/>
      <c r="AQ98" s="142"/>
      <c r="AZ98" s="142"/>
      <c r="BA98" s="142"/>
      <c r="BJ98" s="142"/>
      <c r="BK98" s="142"/>
      <c r="BT98" s="142"/>
      <c r="BU98" s="142"/>
      <c r="CG98" s="142"/>
      <c r="CH98" s="142"/>
      <c r="CJ98" s="142"/>
      <c r="CK98" s="142"/>
      <c r="CL98" s="142"/>
      <c r="CM98" s="142"/>
    </row>
    <row r="99" spans="2:91" ht="19.5" customHeight="1" x14ac:dyDescent="0.2">
      <c r="B99" s="18"/>
      <c r="C99" s="257"/>
      <c r="D99" s="257"/>
      <c r="E99" s="257"/>
      <c r="F99" s="257"/>
      <c r="G99" s="257"/>
      <c r="H99" s="257"/>
      <c r="I99" s="193"/>
      <c r="J99" s="193"/>
      <c r="K99" s="142"/>
      <c r="L99" s="142"/>
      <c r="M99" s="142"/>
      <c r="N99" s="142"/>
      <c r="O99" s="197"/>
      <c r="P99" s="197"/>
      <c r="Q99" s="197"/>
      <c r="R99" s="197"/>
      <c r="V99" s="142"/>
      <c r="W99" s="142"/>
      <c r="AF99" s="142"/>
      <c r="AG99" s="142"/>
      <c r="AP99" s="142"/>
      <c r="AQ99" s="142"/>
      <c r="AZ99" s="142"/>
      <c r="BA99" s="142"/>
      <c r="BJ99" s="142"/>
      <c r="BK99" s="142"/>
      <c r="BT99" s="142"/>
      <c r="BU99" s="142"/>
      <c r="CG99" s="142"/>
      <c r="CH99" s="142"/>
      <c r="CJ99" s="142"/>
      <c r="CK99" s="142"/>
      <c r="CL99" s="142"/>
      <c r="CM99" s="142"/>
    </row>
    <row r="100" spans="2:91" ht="3.75" customHeight="1" x14ac:dyDescent="0.2">
      <c r="B100" s="18"/>
      <c r="C100" s="257"/>
      <c r="D100" s="257"/>
      <c r="E100" s="257"/>
      <c r="F100" s="257"/>
      <c r="G100" s="257"/>
      <c r="H100" s="257"/>
      <c r="I100" s="193"/>
      <c r="J100" s="193"/>
      <c r="K100" s="142"/>
      <c r="L100" s="142"/>
      <c r="M100" s="142"/>
      <c r="N100" s="142"/>
      <c r="O100" s="197"/>
      <c r="P100" s="197"/>
      <c r="Q100" s="197"/>
      <c r="R100" s="197"/>
      <c r="V100" s="142"/>
      <c r="W100" s="142"/>
      <c r="AF100" s="142"/>
      <c r="AG100" s="142"/>
      <c r="AP100" s="142"/>
      <c r="AQ100" s="142"/>
      <c r="AZ100" s="142"/>
      <c r="BA100" s="142"/>
      <c r="BJ100" s="142"/>
      <c r="BK100" s="142"/>
      <c r="BT100" s="142"/>
      <c r="BU100" s="142"/>
      <c r="CG100" s="142"/>
      <c r="CH100" s="142"/>
      <c r="CJ100" s="142"/>
      <c r="CK100" s="142"/>
      <c r="CL100" s="142"/>
      <c r="CM100" s="142"/>
    </row>
    <row r="101" spans="2:91" ht="16.5" x14ac:dyDescent="0.2">
      <c r="B101" s="18">
        <v>7</v>
      </c>
      <c r="C101" s="122" t="s">
        <v>173</v>
      </c>
      <c r="E101" s="193"/>
      <c r="F101" s="193"/>
      <c r="G101" s="193"/>
      <c r="H101" s="142"/>
      <c r="I101" s="193"/>
      <c r="J101" s="193"/>
      <c r="K101" s="142"/>
      <c r="L101" s="142"/>
      <c r="M101" s="142"/>
      <c r="N101" s="142"/>
      <c r="O101" s="197"/>
      <c r="P101" s="197"/>
      <c r="Q101" s="197"/>
      <c r="R101" s="197"/>
      <c r="V101" s="142"/>
      <c r="W101" s="142"/>
      <c r="AF101" s="142"/>
      <c r="AG101" s="142"/>
      <c r="AP101" s="142"/>
      <c r="AQ101" s="142"/>
      <c r="AZ101" s="142"/>
      <c r="BA101" s="142"/>
      <c r="BJ101" s="142"/>
      <c r="BK101" s="142"/>
      <c r="BT101" s="142"/>
      <c r="BU101" s="142"/>
      <c r="CG101" s="142"/>
      <c r="CH101" s="142"/>
      <c r="CJ101" s="142"/>
      <c r="CK101" s="142"/>
      <c r="CL101" s="142"/>
      <c r="CM101" s="142"/>
    </row>
    <row r="102" spans="2:91" ht="16.5" x14ac:dyDescent="0.2">
      <c r="B102" s="18"/>
      <c r="C102" s="19" t="s">
        <v>116</v>
      </c>
      <c r="E102" s="193"/>
      <c r="F102" s="193"/>
      <c r="G102" s="193"/>
      <c r="H102" s="142"/>
      <c r="I102" s="193"/>
      <c r="J102" s="193"/>
      <c r="K102" s="142"/>
      <c r="L102" s="142"/>
      <c r="M102" s="142"/>
      <c r="N102" s="142"/>
      <c r="O102" s="194"/>
      <c r="P102" s="194"/>
      <c r="Q102" s="194"/>
      <c r="R102" s="194"/>
      <c r="V102" s="142"/>
      <c r="W102" s="142"/>
      <c r="AF102" s="142"/>
      <c r="AG102" s="142"/>
      <c r="AP102" s="142"/>
      <c r="AQ102" s="142"/>
      <c r="AZ102" s="142"/>
      <c r="BA102" s="142"/>
      <c r="BJ102" s="142"/>
      <c r="BK102" s="142"/>
      <c r="BT102" s="142"/>
      <c r="BU102" s="142"/>
      <c r="CG102" s="142"/>
      <c r="CH102" s="142"/>
      <c r="CJ102" s="142"/>
      <c r="CK102" s="142"/>
      <c r="CL102" s="142"/>
      <c r="CM102" s="142"/>
    </row>
    <row r="103" spans="2:91" ht="16.5" x14ac:dyDescent="0.2">
      <c r="B103" s="18">
        <v>8</v>
      </c>
      <c r="C103" s="19" t="s">
        <v>87</v>
      </c>
    </row>
    <row r="104" spans="2:91" x14ac:dyDescent="0.2">
      <c r="C104" s="19" t="s">
        <v>117</v>
      </c>
    </row>
    <row r="105" spans="2:91" ht="14.25" x14ac:dyDescent="0.2">
      <c r="C105" s="19" t="s">
        <v>88</v>
      </c>
      <c r="D105" s="8"/>
    </row>
    <row r="106" spans="2:91" ht="40.5" customHeight="1" x14ac:dyDescent="0.2">
      <c r="B106" s="124">
        <v>9</v>
      </c>
      <c r="C106" s="255" t="s">
        <v>209</v>
      </c>
      <c r="D106" s="256"/>
      <c r="E106" s="256"/>
      <c r="F106" s="256"/>
      <c r="G106" s="256"/>
      <c r="H106" s="256"/>
      <c r="I106" s="256"/>
      <c r="J106" s="256"/>
    </row>
    <row r="107" spans="2:91" ht="16.5" x14ac:dyDescent="0.2">
      <c r="B107" s="18">
        <v>10</v>
      </c>
      <c r="C107" s="19" t="s">
        <v>112</v>
      </c>
    </row>
    <row r="108" spans="2:91" x14ac:dyDescent="0.2">
      <c r="C108" s="19" t="s">
        <v>113</v>
      </c>
    </row>
  </sheetData>
  <sheetProtection password="F8BD" sheet="1" objects="1" scenarios="1"/>
  <mergeCells count="107">
    <mergeCell ref="E19:N19"/>
    <mergeCell ref="AJ20:AJ22"/>
    <mergeCell ref="BC19:BL19"/>
    <mergeCell ref="E20:E22"/>
    <mergeCell ref="O19:X19"/>
    <mergeCell ref="I20:I22"/>
    <mergeCell ref="T20:T22"/>
    <mergeCell ref="U20:U22"/>
    <mergeCell ref="M20:M22"/>
    <mergeCell ref="V20:V22"/>
    <mergeCell ref="S20:S22"/>
    <mergeCell ref="O20:O22"/>
    <mergeCell ref="N20:N22"/>
    <mergeCell ref="L20:L22"/>
    <mergeCell ref="X20:X22"/>
    <mergeCell ref="Y20:Y22"/>
    <mergeCell ref="Z20:Z22"/>
    <mergeCell ref="W20:W22"/>
    <mergeCell ref="P20:P22"/>
    <mergeCell ref="Q20:Q22"/>
    <mergeCell ref="R20:R22"/>
    <mergeCell ref="C106:J106"/>
    <mergeCell ref="BM19:BV19"/>
    <mergeCell ref="BM20:BM22"/>
    <mergeCell ref="BN20:BN22"/>
    <mergeCell ref="BO20:BO22"/>
    <mergeCell ref="BP20:BP22"/>
    <mergeCell ref="BQ20:BQ22"/>
    <mergeCell ref="BR20:BR22"/>
    <mergeCell ref="C98:H100"/>
    <mergeCell ref="C20:C22"/>
    <mergeCell ref="D20:D22"/>
    <mergeCell ref="BA20:BA22"/>
    <mergeCell ref="AW20:AW22"/>
    <mergeCell ref="F20:F22"/>
    <mergeCell ref="G20:G22"/>
    <mergeCell ref="J20:J22"/>
    <mergeCell ref="K20:K22"/>
    <mergeCell ref="C91:H91"/>
    <mergeCell ref="H20:H22"/>
    <mergeCell ref="Y19:AH19"/>
    <mergeCell ref="AI19:AR19"/>
    <mergeCell ref="BT20:BT22"/>
    <mergeCell ref="BU20:BU22"/>
    <mergeCell ref="BK20:BK22"/>
    <mergeCell ref="CQ20:CQ22"/>
    <mergeCell ref="CR20:CR22"/>
    <mergeCell ref="CN19:CP19"/>
    <mergeCell ref="CP20:CP22"/>
    <mergeCell ref="CO20:CO22"/>
    <mergeCell ref="CN20:CN22"/>
    <mergeCell ref="AH20:AH22"/>
    <mergeCell ref="AN20:AN22"/>
    <mergeCell ref="CK20:CK22"/>
    <mergeCell ref="CJ19:CM19"/>
    <mergeCell ref="CL20:CL22"/>
    <mergeCell ref="BB20:BB22"/>
    <mergeCell ref="AZ20:AZ22"/>
    <mergeCell ref="AS19:BB19"/>
    <mergeCell ref="AS20:AS22"/>
    <mergeCell ref="AT20:AT22"/>
    <mergeCell ref="BW19:CI19"/>
    <mergeCell ref="BW20:BW22"/>
    <mergeCell ref="BX20:BX22"/>
    <mergeCell ref="BY20:BY22"/>
    <mergeCell ref="BZ20:BZ22"/>
    <mergeCell ref="CA20:CA22"/>
    <mergeCell ref="CB20:CB22"/>
    <mergeCell ref="CC20:CC22"/>
    <mergeCell ref="CD20:CD22"/>
    <mergeCell ref="CE20:CE22"/>
    <mergeCell ref="BF20:BF22"/>
    <mergeCell ref="BG20:BG22"/>
    <mergeCell ref="AM20:AM22"/>
    <mergeCell ref="BH20:BH22"/>
    <mergeCell ref="AA20:AA22"/>
    <mergeCell ref="AB20:AB22"/>
    <mergeCell ref="AF20:AF22"/>
    <mergeCell ref="AC20:AC22"/>
    <mergeCell ref="AE20:AE22"/>
    <mergeCell ref="AI20:AI22"/>
    <mergeCell ref="AG20:AG22"/>
    <mergeCell ref="AD20:AD22"/>
    <mergeCell ref="CM20:CM22"/>
    <mergeCell ref="AK20:AK22"/>
    <mergeCell ref="CJ20:CJ22"/>
    <mergeCell ref="BV20:BV22"/>
    <mergeCell ref="BI20:BI22"/>
    <mergeCell ref="BS20:BS22"/>
    <mergeCell ref="BL20:BL22"/>
    <mergeCell ref="BJ20:BJ22"/>
    <mergeCell ref="BC20:BC22"/>
    <mergeCell ref="BD20:BD22"/>
    <mergeCell ref="BE20:BE22"/>
    <mergeCell ref="CI20:CI22"/>
    <mergeCell ref="CF20:CF22"/>
    <mergeCell ref="CG20:CG22"/>
    <mergeCell ref="CH20:CH22"/>
    <mergeCell ref="AL20:AL22"/>
    <mergeCell ref="AO20:AO22"/>
    <mergeCell ref="AR20:AR22"/>
    <mergeCell ref="AY20:AY22"/>
    <mergeCell ref="AX20:AX22"/>
    <mergeCell ref="AU20:AU22"/>
    <mergeCell ref="AV20:AV22"/>
    <mergeCell ref="AP20:AP22"/>
    <mergeCell ref="AQ20:AQ22"/>
  </mergeCells>
  <phoneticPr fontId="13" type="noConversion"/>
  <printOptions horizontalCentered="1"/>
  <pageMargins left="0.23622047244094499" right="0.23622047244094499" top="0.99803149599999996" bottom="0.30118110199999998" header="0.31496062992126" footer="6.4960630000000005E-2"/>
  <pageSetup paperSize="17" scale="44" orientation="landscape" r:id="rId1"/>
  <headerFooter scaleWithDoc="0">
    <oddHeader>&amp;RHaldimand County Hydro Inc.
EB-2013-0134
Settlement Proposal
APPENDIX L
Filed:  April 4, 2014
Page &amp;P of &amp;N</oddHeader>
  </headerFooter>
  <colBreaks count="4" manualBreakCount="4">
    <brk id="24" max="1048575" man="1"/>
    <brk id="44" max="1048575" man="1"/>
    <brk id="64" max="1048575" man="1"/>
    <brk id="87" max="8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70"/>
  <sheetViews>
    <sheetView zoomScaleNormal="100" workbookViewId="0">
      <selection activeCell="E66" sqref="E66"/>
    </sheetView>
  </sheetViews>
  <sheetFormatPr defaultColWidth="9.140625" defaultRowHeight="12.75" x14ac:dyDescent="0.2"/>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271" t="s">
        <v>168</v>
      </c>
      <c r="C16" s="271"/>
      <c r="D16" s="271"/>
      <c r="E16" s="271"/>
    </row>
    <row r="18" spans="1:6" ht="38.25" customHeight="1" thickBot="1" x14ac:dyDescent="0.25">
      <c r="B18"/>
      <c r="C18"/>
      <c r="D18"/>
    </row>
    <row r="19" spans="1:6" ht="29.25" thickBot="1" x14ac:dyDescent="0.5">
      <c r="C19" s="26"/>
      <c r="D19" s="23"/>
      <c r="E19" s="24"/>
      <c r="F19" s="23"/>
    </row>
    <row r="20" spans="1:6" ht="14.25" customHeight="1" x14ac:dyDescent="0.2">
      <c r="C20" s="268" t="s">
        <v>40</v>
      </c>
      <c r="D20" s="262" t="s">
        <v>0</v>
      </c>
      <c r="E20" s="265" t="s">
        <v>194</v>
      </c>
      <c r="F20" s="261" t="s">
        <v>50</v>
      </c>
    </row>
    <row r="21" spans="1:6" ht="24.75" customHeight="1" x14ac:dyDescent="0.2">
      <c r="C21" s="269"/>
      <c r="D21" s="262"/>
      <c r="E21" s="266"/>
      <c r="F21" s="262"/>
    </row>
    <row r="22" spans="1:6" ht="36.75" customHeight="1" thickBot="1" x14ac:dyDescent="0.25">
      <c r="B22" s="21"/>
      <c r="C22" s="270"/>
      <c r="D22" s="263"/>
      <c r="E22" s="267"/>
      <c r="F22" s="263"/>
    </row>
    <row r="23" spans="1:6" ht="33.75" customHeight="1" x14ac:dyDescent="0.2">
      <c r="C23" s="29" t="s">
        <v>60</v>
      </c>
      <c r="D23" s="22"/>
      <c r="E23" s="25"/>
      <c r="F23" s="7"/>
    </row>
    <row r="24" spans="1:6" ht="30.75" hidden="1" customHeight="1" x14ac:dyDescent="0.2">
      <c r="A24" s="1">
        <v>1</v>
      </c>
      <c r="C24" s="35" t="s">
        <v>62</v>
      </c>
      <c r="D24" s="34">
        <v>1550</v>
      </c>
      <c r="E24" s="27">
        <f>IF(ISERROR(VLOOKUP($A24, '2. 2013 Continuity Schedule'!$A$20:$CR$90, MATCH('3. Appendix A'!$E$20, '2. 2013 Continuity Schedule'!$A$20:$CR$20,0),FALSE)), 0, VLOOKUP($A24, '2. 2013 Continuity Schedule'!$A$20:$CR$90, MATCH('3. Appendix A'!$E$20, '2. 2013 Continuity Schedule'!$A$20:$CR$20,0),FALSE))</f>
        <v>0</v>
      </c>
      <c r="F24" s="32"/>
    </row>
    <row r="25" spans="1:6" ht="30.75" hidden="1" customHeight="1" x14ac:dyDescent="0.2">
      <c r="A25" s="1">
        <v>2</v>
      </c>
      <c r="C25" s="35" t="s">
        <v>1</v>
      </c>
      <c r="D25" s="34">
        <v>1580</v>
      </c>
      <c r="E25" s="27">
        <f>IF(ISERROR(VLOOKUP($A25, '2. 2013 Continuity Schedule'!$A$20:$CR$90, MATCH('3. Appendix A'!$E$20, '2. 2013 Continuity Schedule'!$A$20:$CR$20,0),FALSE)), 0, VLOOKUP($A25, '2. 2013 Continuity Schedule'!$A$20:$CR$90, MATCH('3. Appendix A'!$E$20, '2. 2013 Continuity Schedule'!$A$20:$CR$20,0),FALSE))</f>
        <v>0</v>
      </c>
      <c r="F25" s="32"/>
    </row>
    <row r="26" spans="1:6" ht="30.75" hidden="1" customHeight="1" x14ac:dyDescent="0.2">
      <c r="A26" s="1">
        <v>3</v>
      </c>
      <c r="C26" s="35" t="s">
        <v>2</v>
      </c>
      <c r="D26" s="34">
        <v>1584</v>
      </c>
      <c r="E26" s="27">
        <f>IF(ISERROR(VLOOKUP($A26, '2. 2013 Continuity Schedule'!$A$20:$CR$90, MATCH('3. Appendix A'!$E$20, '2. 2013 Continuity Schedule'!$A$20:$CR$20,0),FALSE)), 0, VLOOKUP($A26, '2. 2013 Continuity Schedule'!$A$20:$CR$90, MATCH('3. Appendix A'!$E$20, '2. 2013 Continuity Schedule'!$A$20:$CR$20,0),FALSE))</f>
        <v>0</v>
      </c>
      <c r="F26" s="32"/>
    </row>
    <row r="27" spans="1:6" ht="30.75" hidden="1" customHeight="1" x14ac:dyDescent="0.2">
      <c r="A27" s="1">
        <v>4</v>
      </c>
      <c r="C27" s="35" t="s">
        <v>3</v>
      </c>
      <c r="D27" s="34">
        <v>1586</v>
      </c>
      <c r="E27" s="27">
        <f>IF(ISERROR(VLOOKUP($A27, '2. 2013 Continuity Schedule'!$A$20:$CR$90, MATCH('3. Appendix A'!$E$20, '2. 2013 Continuity Schedule'!$A$20:$CR$20,0),FALSE)), 0, VLOOKUP($A27, '2. 2013 Continuity Schedule'!$A$20:$CR$90, MATCH('3. Appendix A'!$E$20, '2. 2013 Continuity Schedule'!$A$20:$CR$20,0),FALSE))</f>
        <v>0</v>
      </c>
      <c r="F27" s="32"/>
    </row>
    <row r="28" spans="1:6" ht="30.75" hidden="1" customHeight="1" x14ac:dyDescent="0.2">
      <c r="A28" s="1">
        <v>5</v>
      </c>
      <c r="C28" s="35" t="s">
        <v>114</v>
      </c>
      <c r="D28" s="34">
        <v>1588</v>
      </c>
      <c r="E28" s="27">
        <f>IF(ISERROR(VLOOKUP($A28, '2. 2013 Continuity Schedule'!$A$20:$CR$90, MATCH('3. Appendix A'!$E$20, '2. 2013 Continuity Schedule'!$A$20:$CR$20,0),FALSE)), 0, VLOOKUP($A28, '2. 2013 Continuity Schedule'!$A$20:$CR$90, MATCH('3. Appendix A'!$E$20, '2. 2013 Continuity Schedule'!$A$20:$CR$20,0),FALSE))</f>
        <v>0</v>
      </c>
      <c r="F28" s="32"/>
    </row>
    <row r="29" spans="1:6" ht="30.75" hidden="1" customHeight="1" x14ac:dyDescent="0.2">
      <c r="A29" s="1">
        <v>6</v>
      </c>
      <c r="C29" s="35" t="s">
        <v>169</v>
      </c>
      <c r="D29" s="34">
        <v>1589</v>
      </c>
      <c r="E29" s="27">
        <f>IF(ISERROR(VLOOKUP($A29, '2. 2013 Continuity Schedule'!$A$20:$CR$90, MATCH('3. Appendix A'!$E$20, '2. 2013 Continuity Schedule'!$A$20:$CR$20,0),FALSE)), 0, VLOOKUP($A29, '2. 2013 Continuity Schedule'!$A$20:$CR$90, MATCH('3. Appendix A'!$E$20, '2. 2013 Continuity Schedule'!$A$20:$CR$20,0),FALSE))</f>
        <v>0</v>
      </c>
      <c r="F29" s="32"/>
    </row>
    <row r="30" spans="1:6" ht="30.75" hidden="1" customHeight="1" x14ac:dyDescent="0.2">
      <c r="A30" s="1">
        <v>7</v>
      </c>
      <c r="C30" s="35" t="s">
        <v>19</v>
      </c>
      <c r="D30" s="34">
        <v>1590</v>
      </c>
      <c r="E30" s="27">
        <f>IF(ISERROR(VLOOKUP($A30, '2. 2013 Continuity Schedule'!$A$20:$CR$90, MATCH('3. Appendix A'!$E$20, '2. 2013 Continuity Schedule'!$A$20:$CR$20,0),FALSE)), 0, VLOOKUP($A30, '2. 2013 Continuity Schedule'!$A$20:$CR$90, MATCH('3. Appendix A'!$E$20, '2. 2013 Continuity Schedule'!$A$20:$CR$20,0),FALSE))</f>
        <v>0</v>
      </c>
      <c r="F30" s="32"/>
    </row>
    <row r="31" spans="1:6" ht="30.75" hidden="1" customHeight="1" x14ac:dyDescent="0.2">
      <c r="A31" s="1">
        <v>8</v>
      </c>
      <c r="C31" s="37" t="s">
        <v>109</v>
      </c>
      <c r="D31" s="34">
        <v>1595</v>
      </c>
      <c r="E31" s="27">
        <f>IF(ISERROR(VLOOKUP($A31, '2. 2013 Continuity Schedule'!$A$20:$CR$90, MATCH('3. Appendix A'!$E$20, '2. 2013 Continuity Schedule'!$A$20:$CR$20,0),FALSE)), 0, VLOOKUP($A31, '2. 2013 Continuity Schedule'!$A$20:$CR$90, MATCH('3. Appendix A'!$E$20, '2. 2013 Continuity Schedule'!$A$20:$CR$20,0),FALSE))</f>
        <v>0</v>
      </c>
      <c r="F31" s="32"/>
    </row>
    <row r="32" spans="1:6" ht="30.75" hidden="1" customHeight="1" x14ac:dyDescent="0.2">
      <c r="A32" s="1">
        <v>9</v>
      </c>
      <c r="C32" s="37" t="s">
        <v>110</v>
      </c>
      <c r="D32" s="34">
        <v>1595</v>
      </c>
      <c r="E32" s="27">
        <f>IF(ISERROR(VLOOKUP($A32, '2. 2013 Continuity Schedule'!$A$20:$CR$90, MATCH('3. Appendix A'!$E$20, '2. 2013 Continuity Schedule'!$A$20:$CR$20,0),FALSE)), 0, VLOOKUP($A32, '2. 2013 Continuity Schedule'!$A$20:$CR$90, MATCH('3. Appendix A'!$E$20, '2. 2013 Continuity Schedule'!$A$20:$CR$20,0),FALSE))</f>
        <v>0</v>
      </c>
      <c r="F32" s="32"/>
    </row>
    <row r="33" spans="1:6" ht="30.75" hidden="1" customHeight="1" x14ac:dyDescent="0.2">
      <c r="A33" s="1">
        <v>9</v>
      </c>
      <c r="C33" s="37" t="s">
        <v>111</v>
      </c>
      <c r="D33" s="34">
        <v>1595</v>
      </c>
      <c r="E33" s="27">
        <f>IF(ISERROR(VLOOKUP($A33, '2. 2013 Continuity Schedule'!$A$20:$CR$90, MATCH('3. Appendix A'!$E$20, '2. 2013 Continuity Schedule'!$A$20:$CR$20,0),FALSE)), 0, VLOOKUP($A33, '2. 2013 Continuity Schedule'!$A$20:$CR$90, MATCH('3. Appendix A'!$E$20, '2. 2013 Continuity Schedule'!$A$20:$CR$20,0),FALSE))</f>
        <v>0</v>
      </c>
      <c r="F33" s="32"/>
    </row>
    <row r="34" spans="1:6" ht="30.75" customHeight="1" x14ac:dyDescent="0.2">
      <c r="A34" s="1">
        <v>10</v>
      </c>
      <c r="C34" s="37" t="s">
        <v>172</v>
      </c>
      <c r="D34" s="34">
        <v>1595</v>
      </c>
      <c r="E34" s="27">
        <f>IF(ISERROR(VLOOKUP($A34, '2. 2013 Continuity Schedule'!$A$20:$CR$90, MATCH('3. Appendix A'!$E$20, '2. 2013 Continuity Schedule'!$A$20:$CR$20,0),FALSE)), 0, VLOOKUP($A34, '2. 2013 Continuity Schedule'!$A$20:$CR$90, MATCH('3. Appendix A'!$E$20, '2. 2013 Continuity Schedule'!$A$20:$CR$20,0),FALSE))</f>
        <v>31.370000000002619</v>
      </c>
      <c r="F34" s="123" t="s">
        <v>315</v>
      </c>
    </row>
    <row r="35" spans="1:6" ht="30.75" customHeight="1" x14ac:dyDescent="0.2">
      <c r="C35" s="29" t="s">
        <v>61</v>
      </c>
      <c r="D35" s="28"/>
      <c r="E35" s="27"/>
      <c r="F35" s="39"/>
    </row>
    <row r="36" spans="1:6" ht="30.75" hidden="1" customHeight="1" x14ac:dyDescent="0.2">
      <c r="A36" s="1">
        <v>11</v>
      </c>
      <c r="C36" s="35" t="s">
        <v>14</v>
      </c>
      <c r="D36" s="34">
        <v>1508</v>
      </c>
      <c r="E36" s="27">
        <f>IF(ISERROR(VLOOKUP($A36, '2. 2013 Continuity Schedule'!$A$20:$CR$90, MATCH('3. Appendix A'!$E$20, '2. 2013 Continuity Schedule'!$A$20:$CR$20,0),FALSE)), 0, VLOOKUP($A36, '2. 2013 Continuity Schedule'!$A$20:$CR$90, MATCH('3. Appendix A'!$E$20, '2. 2013 Continuity Schedule'!$A$20:$CR$20,0),FALSE))</f>
        <v>0</v>
      </c>
      <c r="F36" s="32"/>
    </row>
    <row r="37" spans="1:6" ht="30.75" hidden="1" customHeight="1" x14ac:dyDescent="0.2">
      <c r="A37" s="1">
        <v>12</v>
      </c>
      <c r="C37" s="35" t="s">
        <v>15</v>
      </c>
      <c r="D37" s="34">
        <v>1508</v>
      </c>
      <c r="E37" s="27">
        <f>IF(ISERROR(VLOOKUP($A37, '2. 2013 Continuity Schedule'!$A$20:$CR$90, MATCH('3. Appendix A'!$E$20, '2. 2013 Continuity Schedule'!$A$20:$CR$20,0),FALSE)), 0, VLOOKUP($A37, '2. 2013 Continuity Schedule'!$A$20:$CR$90, MATCH('3. Appendix A'!$E$20, '2. 2013 Continuity Schedule'!$A$20:$CR$20,0),FALSE))</f>
        <v>0</v>
      </c>
      <c r="F37" s="32"/>
    </row>
    <row r="38" spans="1:6" ht="30.75" hidden="1" customHeight="1" x14ac:dyDescent="0.2">
      <c r="A38" s="1">
        <v>13</v>
      </c>
      <c r="C38" s="35" t="s">
        <v>67</v>
      </c>
      <c r="D38" s="34">
        <v>1508</v>
      </c>
      <c r="E38" s="27">
        <f>IF(ISERROR(VLOOKUP($A38, '2. 2013 Continuity Schedule'!$A$20:$CR$90, MATCH('3. Appendix A'!$E$20, '2. 2013 Continuity Schedule'!$A$20:$CR$20,0),FALSE)), 0, VLOOKUP($A38, '2. 2013 Continuity Schedule'!$A$20:$CR$90, MATCH('3. Appendix A'!$E$20, '2. 2013 Continuity Schedule'!$A$20:$CR$20,0),FALSE))</f>
        <v>0</v>
      </c>
      <c r="F38" s="32"/>
    </row>
    <row r="39" spans="1:6" ht="30.75" hidden="1" customHeight="1" x14ac:dyDescent="0.2">
      <c r="A39" s="1">
        <v>14</v>
      </c>
      <c r="C39" s="35" t="s">
        <v>68</v>
      </c>
      <c r="D39" s="34">
        <v>1508</v>
      </c>
      <c r="E39" s="27">
        <f>IF(ISERROR(VLOOKUP($A39, '2. 2013 Continuity Schedule'!$A$20:$CR$90, MATCH('3. Appendix A'!$E$20, '2. 2013 Continuity Schedule'!$A$20:$CR$20,0),FALSE)), 0, VLOOKUP($A39, '2. 2013 Continuity Schedule'!$A$20:$CR$90, MATCH('3. Appendix A'!$E$20, '2. 2013 Continuity Schedule'!$A$20:$CR$20,0),FALSE))</f>
        <v>0</v>
      </c>
      <c r="F39" s="32"/>
    </row>
    <row r="40" spans="1:6" ht="30.75" hidden="1" customHeight="1" x14ac:dyDescent="0.2">
      <c r="A40" s="1">
        <v>15</v>
      </c>
      <c r="C40" s="36" t="s">
        <v>107</v>
      </c>
      <c r="D40" s="34">
        <v>1508</v>
      </c>
      <c r="E40" s="27">
        <f>IF(ISERROR(VLOOKUP($A40, '2. 2013 Continuity Schedule'!$A$20:$CR$90, MATCH('3. Appendix A'!$E$20, '2. 2013 Continuity Schedule'!$A$20:$CR$20,0),FALSE)), 0, VLOOKUP($A40, '2. 2013 Continuity Schedule'!$A$20:$CR$90, MATCH('3. Appendix A'!$E$20, '2. 2013 Continuity Schedule'!$A$20:$CR$20,0),FALSE))</f>
        <v>0</v>
      </c>
      <c r="F40" s="32"/>
    </row>
    <row r="41" spans="1:6" ht="30.75" hidden="1" customHeight="1" x14ac:dyDescent="0.2">
      <c r="A41" s="1">
        <v>16</v>
      </c>
      <c r="C41" s="36" t="s">
        <v>86</v>
      </c>
      <c r="D41" s="34">
        <v>1508</v>
      </c>
      <c r="E41" s="27">
        <f>IF(ISERROR(VLOOKUP($A41, '2. 2013 Continuity Schedule'!$A$20:$CR$90, MATCH('3. Appendix A'!$E$20, '2. 2013 Continuity Schedule'!$A$20:$CR$20,0),FALSE)), 0, VLOOKUP($A41, '2. 2013 Continuity Schedule'!$A$20:$CR$90, MATCH('3. Appendix A'!$E$20, '2. 2013 Continuity Schedule'!$A$20:$CR$20,0),FALSE))</f>
        <v>0</v>
      </c>
      <c r="F41" s="32"/>
    </row>
    <row r="42" spans="1:6" ht="30.75" hidden="1" customHeight="1" x14ac:dyDescent="0.2">
      <c r="A42" s="1">
        <v>17</v>
      </c>
      <c r="C42" s="35" t="s">
        <v>105</v>
      </c>
      <c r="D42" s="34">
        <v>1508</v>
      </c>
      <c r="E42" s="27">
        <f>IF(ISERROR(VLOOKUP($A42, '2. 2013 Continuity Schedule'!$A$20:$CR$90, MATCH('3. Appendix A'!$E$20, '2. 2013 Continuity Schedule'!$A$20:$CR$20,0),FALSE)), 0, VLOOKUP($A42, '2. 2013 Continuity Schedule'!$A$20:$CR$90, MATCH('3. Appendix A'!$E$20, '2. 2013 Continuity Schedule'!$A$20:$CR$20,0),FALSE))</f>
        <v>0</v>
      </c>
      <c r="F42" s="32"/>
    </row>
    <row r="43" spans="1:6" ht="30.75" hidden="1" customHeight="1" x14ac:dyDescent="0.2">
      <c r="A43" s="1">
        <v>18</v>
      </c>
      <c r="C43" s="35" t="s">
        <v>4</v>
      </c>
      <c r="D43" s="34">
        <v>1518</v>
      </c>
      <c r="E43" s="27">
        <f>IF(ISERROR(VLOOKUP($A43, '2. 2013 Continuity Schedule'!$A$20:$CR$90, MATCH('3. Appendix A'!$E$20, '2. 2013 Continuity Schedule'!$A$20:$CR$20,0),FALSE)), 0, VLOOKUP($A43, '2. 2013 Continuity Schedule'!$A$20:$CR$90, MATCH('3. Appendix A'!$E$20, '2. 2013 Continuity Schedule'!$A$20:$CR$20,0),FALSE))</f>
        <v>0</v>
      </c>
      <c r="F43" s="32"/>
    </row>
    <row r="44" spans="1:6" ht="30.75" hidden="1" customHeight="1" x14ac:dyDescent="0.2">
      <c r="A44" s="1">
        <v>19</v>
      </c>
      <c r="C44" s="35" t="s">
        <v>17</v>
      </c>
      <c r="D44" s="34">
        <v>1525</v>
      </c>
      <c r="E44" s="27">
        <f>IF(ISERROR(VLOOKUP($A44, '2. 2013 Continuity Schedule'!$A$20:$CR$90, MATCH('3. Appendix A'!$E$20, '2. 2013 Continuity Schedule'!$A$20:$CR$20,0),FALSE)), 0, VLOOKUP($A44, '2. 2013 Continuity Schedule'!$A$20:$CR$90, MATCH('3. Appendix A'!$E$20, '2. 2013 Continuity Schedule'!$A$20:$CR$20,0),FALSE))</f>
        <v>0</v>
      </c>
      <c r="F44" s="32"/>
    </row>
    <row r="45" spans="1:6" ht="30.75" hidden="1" customHeight="1" x14ac:dyDescent="0.2">
      <c r="A45" s="1">
        <v>20</v>
      </c>
      <c r="C45" s="35" t="s">
        <v>64</v>
      </c>
      <c r="D45" s="34">
        <v>1531</v>
      </c>
      <c r="E45" s="27">
        <f>IF(ISERROR(VLOOKUP($A45, '2. 2013 Continuity Schedule'!$A$20:$CR$90, MATCH('3. Appendix A'!$E$20, '2. 2013 Continuity Schedule'!$A$20:$CR$20,0),FALSE)), 0, VLOOKUP($A45, '2. 2013 Continuity Schedule'!$A$20:$CR$90, MATCH('3. Appendix A'!$E$20, '2. 2013 Continuity Schedule'!$A$20:$CR$20,0),FALSE))</f>
        <v>0</v>
      </c>
      <c r="F45" s="32"/>
    </row>
    <row r="46" spans="1:6" ht="30.75" hidden="1" customHeight="1" x14ac:dyDescent="0.2">
      <c r="A46" s="1">
        <v>21</v>
      </c>
      <c r="C46" s="35" t="s">
        <v>65</v>
      </c>
      <c r="D46" s="34">
        <v>1532</v>
      </c>
      <c r="E46" s="27">
        <f>IF(ISERROR(VLOOKUP($A46, '2. 2013 Continuity Schedule'!$A$20:$CR$90, MATCH('3. Appendix A'!$E$20, '2. 2013 Continuity Schedule'!$A$20:$CR$20,0),FALSE)), 0, VLOOKUP($A46, '2. 2013 Continuity Schedule'!$A$20:$CR$90, MATCH('3. Appendix A'!$E$20, '2. 2013 Continuity Schedule'!$A$20:$CR$20,0),FALSE))</f>
        <v>0</v>
      </c>
      <c r="F46" s="32"/>
    </row>
    <row r="47" spans="1:6" ht="30.75" hidden="1" customHeight="1" x14ac:dyDescent="0.2">
      <c r="A47" s="1">
        <v>22</v>
      </c>
      <c r="C47" s="35" t="s">
        <v>41</v>
      </c>
      <c r="D47" s="34">
        <v>1533</v>
      </c>
      <c r="E47" s="27">
        <f>IF(ISERROR(VLOOKUP($A47, '2. 2013 Continuity Schedule'!$A$20:$CR$90, MATCH('3. Appendix A'!$E$20, '2. 2013 Continuity Schedule'!$A$20:$CR$20,0),FALSE)), 0, VLOOKUP($A47, '2. 2013 Continuity Schedule'!$A$20:$CR$90, MATCH('3. Appendix A'!$E$20, '2. 2013 Continuity Schedule'!$A$20:$CR$20,0),FALSE))</f>
        <v>0</v>
      </c>
      <c r="F47" s="32"/>
    </row>
    <row r="48" spans="1:6" ht="30.75" hidden="1" customHeight="1" x14ac:dyDescent="0.2">
      <c r="A48" s="1">
        <v>23</v>
      </c>
      <c r="C48" s="35" t="s">
        <v>32</v>
      </c>
      <c r="D48" s="34">
        <v>1534</v>
      </c>
      <c r="E48" s="27">
        <f>IF(ISERROR(VLOOKUP($A48, '2. 2013 Continuity Schedule'!$A$20:$CR$90, MATCH('3. Appendix A'!$E$20, '2. 2013 Continuity Schedule'!$A$20:$CR$20,0),FALSE)), 0, VLOOKUP($A48, '2. 2013 Continuity Schedule'!$A$20:$CR$90, MATCH('3. Appendix A'!$E$20, '2. 2013 Continuity Schedule'!$A$20:$CR$20,0),FALSE))</f>
        <v>0</v>
      </c>
      <c r="F48" s="32"/>
    </row>
    <row r="49" spans="1:6" ht="30.75" hidden="1" customHeight="1" x14ac:dyDescent="0.2">
      <c r="A49" s="1">
        <v>24</v>
      </c>
      <c r="C49" s="35" t="s">
        <v>33</v>
      </c>
      <c r="D49" s="34">
        <v>1535</v>
      </c>
      <c r="E49" s="27">
        <f>IF(ISERROR(VLOOKUP($A49, '2. 2013 Continuity Schedule'!$A$20:$CR$90, MATCH('3. Appendix A'!$E$20, '2. 2013 Continuity Schedule'!$A$20:$CR$20,0),FALSE)), 0, VLOOKUP($A49, '2. 2013 Continuity Schedule'!$A$20:$CR$90, MATCH('3. Appendix A'!$E$20, '2. 2013 Continuity Schedule'!$A$20:$CR$20,0),FALSE))</f>
        <v>0</v>
      </c>
      <c r="F49" s="32"/>
    </row>
    <row r="50" spans="1:6" ht="30.75" hidden="1" customHeight="1" x14ac:dyDescent="0.2">
      <c r="A50" s="1">
        <v>25</v>
      </c>
      <c r="C50" s="35" t="s">
        <v>39</v>
      </c>
      <c r="D50" s="34">
        <v>1536</v>
      </c>
      <c r="E50" s="27">
        <f>IF(ISERROR(VLOOKUP($A50, '2. 2013 Continuity Schedule'!$A$20:$CR$90, MATCH('3. Appendix A'!$E$20, '2. 2013 Continuity Schedule'!$A$20:$CR$20,0),FALSE)), 0, VLOOKUP($A50, '2. 2013 Continuity Schedule'!$A$20:$CR$90, MATCH('3. Appendix A'!$E$20, '2. 2013 Continuity Schedule'!$A$20:$CR$20,0),FALSE))</f>
        <v>0</v>
      </c>
      <c r="F50" s="32"/>
    </row>
    <row r="51" spans="1:6" ht="30.75" hidden="1" customHeight="1" x14ac:dyDescent="0.2">
      <c r="A51" s="1">
        <v>26</v>
      </c>
      <c r="C51" s="35" t="s">
        <v>5</v>
      </c>
      <c r="D51" s="34">
        <v>1548</v>
      </c>
      <c r="E51" s="27">
        <f>IF(ISERROR(VLOOKUP($A51, '2. 2013 Continuity Schedule'!$A$20:$CR$90, MATCH('3. Appendix A'!$E$20, '2. 2013 Continuity Schedule'!$A$20:$CR$20,0),FALSE)), 0, VLOOKUP($A51, '2. 2013 Continuity Schedule'!$A$20:$CR$90, MATCH('3. Appendix A'!$E$20, '2. 2013 Continuity Schedule'!$A$20:$CR$20,0),FALSE))</f>
        <v>0</v>
      </c>
      <c r="F51" s="32"/>
    </row>
    <row r="52" spans="1:6" ht="30.75" hidden="1" customHeight="1" x14ac:dyDescent="0.2">
      <c r="A52" s="1">
        <v>27</v>
      </c>
      <c r="C52" s="35" t="s">
        <v>66</v>
      </c>
      <c r="D52" s="34">
        <v>1567</v>
      </c>
      <c r="E52" s="27">
        <f>IF(ISERROR(VLOOKUP($A52, '2. 2013 Continuity Schedule'!$A$20:$CR$90, MATCH('3. Appendix A'!$E$20, '2. 2013 Continuity Schedule'!$A$20:$CR$20,0),FALSE)), 0, VLOOKUP($A52, '2. 2013 Continuity Schedule'!$A$20:$CR$90, MATCH('3. Appendix A'!$E$20, '2. 2013 Continuity Schedule'!$A$20:$CR$20,0),FALSE))</f>
        <v>0</v>
      </c>
      <c r="F52" s="32"/>
    </row>
    <row r="53" spans="1:6" ht="30.75" hidden="1" customHeight="1" x14ac:dyDescent="0.2">
      <c r="A53" s="1">
        <v>28</v>
      </c>
      <c r="C53" s="35" t="s">
        <v>18</v>
      </c>
      <c r="D53" s="34">
        <v>1572</v>
      </c>
      <c r="E53" s="27">
        <f>IF(ISERROR(VLOOKUP($A53, '2. 2013 Continuity Schedule'!$A$20:$CR$90, MATCH('3. Appendix A'!$E$20, '2. 2013 Continuity Schedule'!$A$20:$CR$20,0),FALSE)), 0, VLOOKUP($A53, '2. 2013 Continuity Schedule'!$A$20:$CR$90, MATCH('3. Appendix A'!$E$20, '2. 2013 Continuity Schedule'!$A$20:$CR$20,0),FALSE))</f>
        <v>0</v>
      </c>
      <c r="F53" s="32"/>
    </row>
    <row r="54" spans="1:6" ht="30.75" hidden="1" customHeight="1" x14ac:dyDescent="0.2">
      <c r="A54" s="1">
        <v>29</v>
      </c>
      <c r="C54" s="35" t="s">
        <v>6</v>
      </c>
      <c r="D54" s="34">
        <v>1574</v>
      </c>
      <c r="E54" s="27">
        <f>IF(ISERROR(VLOOKUP($A54, '2. 2013 Continuity Schedule'!$A$20:$CR$90, MATCH('3. Appendix A'!$E$20, '2. 2013 Continuity Schedule'!$A$20:$CR$20,0),FALSE)), 0, VLOOKUP($A54, '2. 2013 Continuity Schedule'!$A$20:$CR$90, MATCH('3. Appendix A'!$E$20, '2. 2013 Continuity Schedule'!$A$20:$CR$20,0),FALSE))</f>
        <v>0</v>
      </c>
      <c r="F54" s="32"/>
    </row>
    <row r="55" spans="1:6" ht="30.75" hidden="1" customHeight="1" x14ac:dyDescent="0.2">
      <c r="A55" s="1">
        <v>30</v>
      </c>
      <c r="C55" s="35" t="s">
        <v>63</v>
      </c>
      <c r="D55" s="34">
        <v>1582</v>
      </c>
      <c r="E55" s="27">
        <f>IF(ISERROR(VLOOKUP($A55, '2. 2013 Continuity Schedule'!$A$20:$CR$90, MATCH('3. Appendix A'!$E$20, '2. 2013 Continuity Schedule'!$A$20:$CR$20,0),FALSE)), 0, VLOOKUP($A55, '2. 2013 Continuity Schedule'!$A$20:$CR$90, MATCH('3. Appendix A'!$E$20, '2. 2013 Continuity Schedule'!$A$20:$CR$20,0),FALSE))</f>
        <v>0</v>
      </c>
      <c r="F55" s="32"/>
    </row>
    <row r="56" spans="1:6" ht="30.75" hidden="1" customHeight="1" x14ac:dyDescent="0.2">
      <c r="A56" s="1">
        <v>31</v>
      </c>
      <c r="C56" s="35" t="s">
        <v>7</v>
      </c>
      <c r="D56" s="31">
        <v>2425</v>
      </c>
      <c r="E56" s="27">
        <f>IF(ISERROR(VLOOKUP($A56, '2. 2013 Continuity Schedule'!$A$20:$CR$90, MATCH('3. Appendix A'!$E$20, '2. 2013 Continuity Schedule'!$A$20:$CR$20,0),FALSE)), 0, VLOOKUP($A56, '2. 2013 Continuity Schedule'!$A$20:$CR$90, MATCH('3. Appendix A'!$E$20, '2. 2013 Continuity Schedule'!$A$20:$CR$20,0),FALSE))</f>
        <v>0</v>
      </c>
      <c r="F56" s="32"/>
    </row>
    <row r="57" spans="1:6" ht="30.75" hidden="1" customHeight="1" x14ac:dyDescent="0.2">
      <c r="A57" s="1">
        <v>32</v>
      </c>
      <c r="B57" s="7"/>
      <c r="C57" s="205" t="s">
        <v>16</v>
      </c>
      <c r="D57" s="34">
        <v>1562</v>
      </c>
      <c r="E57" s="27">
        <f>IF(ISERROR(VLOOKUP($A57, '2. 2013 Continuity Schedule'!$A$20:$CR$90, MATCH('3. Appendix A'!$E$20, '2. 2013 Continuity Schedule'!$A$20:$CR$20,0),FALSE)), 0, VLOOKUP($A57, '2. 2013 Continuity Schedule'!$A$20:$CR$90, MATCH('3. Appendix A'!$E$20, '2. 2013 Continuity Schedule'!$A$20:$CR$20,0),FALSE))</f>
        <v>0</v>
      </c>
      <c r="F57" s="32"/>
    </row>
    <row r="58" spans="1:6" ht="30.75" hidden="1" customHeight="1" x14ac:dyDescent="0.2">
      <c r="A58" s="1">
        <v>33</v>
      </c>
      <c r="B58" s="7"/>
      <c r="C58" s="206" t="s">
        <v>71</v>
      </c>
      <c r="D58" s="31">
        <v>1592</v>
      </c>
      <c r="E58" s="27">
        <f>IF(ISERROR(VLOOKUP($A58, '2. 2013 Continuity Schedule'!$A$20:$CR$90, MATCH('3. Appendix A'!$E$20, '2. 2013 Continuity Schedule'!$A$20:$CR$20,0),FALSE)), 0, VLOOKUP($A58, '2. 2013 Continuity Schedule'!$A$20:$CR$90, MATCH('3. Appendix A'!$E$20, '2. 2013 Continuity Schedule'!$A$20:$CR$20,0),FALSE))</f>
        <v>0</v>
      </c>
      <c r="F58" s="32"/>
    </row>
    <row r="59" spans="1:6" ht="30.75" customHeight="1" x14ac:dyDescent="0.2">
      <c r="A59" s="1">
        <v>34</v>
      </c>
      <c r="B59" s="7"/>
      <c r="C59" s="206" t="s">
        <v>70</v>
      </c>
      <c r="D59" s="31">
        <v>1592</v>
      </c>
      <c r="E59" s="27">
        <f>IF(ISERROR(VLOOKUP($A59, '2. 2013 Continuity Schedule'!$A$20:$CR$90, MATCH('3. Appendix A'!$E$20, '2. 2013 Continuity Schedule'!$A$20:$CR$20,0),FALSE)), 0, VLOOKUP($A59, '2. 2013 Continuity Schedule'!$A$20:$CR$90, MATCH('3. Appendix A'!$E$20, '2. 2013 Continuity Schedule'!$A$20:$CR$20,0),FALSE))</f>
        <v>152540.96500000003</v>
      </c>
      <c r="F59" s="213" t="s">
        <v>312</v>
      </c>
    </row>
    <row r="60" spans="1:6" ht="30.75" customHeight="1" x14ac:dyDescent="0.2">
      <c r="A60" s="1">
        <v>35</v>
      </c>
      <c r="B60" s="7"/>
      <c r="C60" s="206" t="s">
        <v>139</v>
      </c>
      <c r="D60" s="31">
        <v>1568</v>
      </c>
      <c r="E60" s="27">
        <f>IF(ISERROR(VLOOKUP($A60, '2. 2013 Continuity Schedule'!$A$20:$CR$90, MATCH('3. Appendix A'!$E$20, '2. 2013 Continuity Schedule'!$A$20:$CR$20,0),FALSE)), 0, VLOOKUP($A60, '2. 2013 Continuity Schedule'!$A$20:$CR$90, MATCH('3. Appendix A'!$E$20, '2. 2013 Continuity Schedule'!$A$20:$CR$20,0),FALSE))</f>
        <v>-82207</v>
      </c>
      <c r="F60" s="32" t="s">
        <v>314</v>
      </c>
    </row>
    <row r="61" spans="1:6" ht="30.75" hidden="1" customHeight="1" x14ac:dyDescent="0.2">
      <c r="A61" s="1">
        <v>36</v>
      </c>
      <c r="B61" s="7"/>
      <c r="C61" s="6" t="s">
        <v>197</v>
      </c>
      <c r="D61" s="8">
        <v>1555</v>
      </c>
      <c r="E61" s="27">
        <f>IF(ISERROR(VLOOKUP($A61, '2. 2013 Continuity Schedule'!$A$20:$CR$90, MATCH('3. Appendix A'!$E$20, '2. 2013 Continuity Schedule'!$A$20:$CR$20,0),FALSE)), 0, VLOOKUP($A61, '2. 2013 Continuity Schedule'!$A$20:$CR$90, MATCH('3. Appendix A'!$E$20, '2. 2013 Continuity Schedule'!$A$20:$CR$20,0),FALSE))</f>
        <v>0</v>
      </c>
      <c r="F61" s="32"/>
    </row>
    <row r="62" spans="1:6" ht="30.75" hidden="1" customHeight="1" x14ac:dyDescent="0.2">
      <c r="A62" s="1">
        <v>37</v>
      </c>
      <c r="B62" s="7"/>
      <c r="C62" s="6" t="s">
        <v>198</v>
      </c>
      <c r="D62" s="8">
        <v>1555</v>
      </c>
      <c r="E62" s="27">
        <f>IF(ISERROR(VLOOKUP($A62, '2. 2013 Continuity Schedule'!$A$20:$CR$90, MATCH('3. Appendix A'!$E$20, '2. 2013 Continuity Schedule'!$A$20:$CR$20,0),FALSE)), 0, VLOOKUP($A62, '2. 2013 Continuity Schedule'!$A$20:$CR$90, MATCH('3. Appendix A'!$E$20, '2. 2013 Continuity Schedule'!$A$20:$CR$20,0),FALSE))</f>
        <v>0</v>
      </c>
      <c r="F62" s="32"/>
    </row>
    <row r="63" spans="1:6" ht="30.75" hidden="1" customHeight="1" x14ac:dyDescent="0.2">
      <c r="A63" s="1">
        <v>38</v>
      </c>
      <c r="B63" s="7"/>
      <c r="C63" s="6" t="s">
        <v>199</v>
      </c>
      <c r="D63" s="8">
        <v>1555</v>
      </c>
      <c r="E63" s="27">
        <f>IF(ISERROR(VLOOKUP($A63, '2. 2013 Continuity Schedule'!$A$20:$CR$90, MATCH('3. Appendix A'!$E$20, '2. 2013 Continuity Schedule'!$A$20:$CR$20,0),FALSE)), 0, VLOOKUP($A63, '2. 2013 Continuity Schedule'!$A$20:$CR$90, MATCH('3. Appendix A'!$E$20, '2. 2013 Continuity Schedule'!$A$20:$CR$20,0),FALSE))</f>
        <v>0</v>
      </c>
      <c r="F63" s="32"/>
    </row>
    <row r="64" spans="1:6" ht="30.75" hidden="1" customHeight="1" x14ac:dyDescent="0.2">
      <c r="A64" s="1">
        <v>39</v>
      </c>
      <c r="B64" s="7"/>
      <c r="C64" s="6" t="s">
        <v>200</v>
      </c>
      <c r="D64" s="8">
        <v>1556</v>
      </c>
      <c r="E64" s="27">
        <f>IF(ISERROR(VLOOKUP($A64, '2. 2013 Continuity Schedule'!$A$20:$CR$90, MATCH('3. Appendix A'!$E$20, '2. 2013 Continuity Schedule'!$A$20:$CR$20,0),FALSE)), 0, VLOOKUP($A64, '2. 2013 Continuity Schedule'!$A$20:$CR$90, MATCH('3. Appendix A'!$E$20, '2. 2013 Continuity Schedule'!$A$20:$CR$20,0),FALSE))</f>
        <v>0</v>
      </c>
      <c r="F64" s="32"/>
    </row>
    <row r="65" spans="1:6" ht="30.75" hidden="1" customHeight="1" thickBot="1" x14ac:dyDescent="0.25">
      <c r="A65" s="1">
        <v>40</v>
      </c>
      <c r="B65" s="7"/>
      <c r="C65" s="206" t="s">
        <v>289</v>
      </c>
      <c r="D65" s="204">
        <v>1575</v>
      </c>
      <c r="E65" s="27">
        <f>IF(ISERROR(VLOOKUP($A65, '2. 2013 Continuity Schedule'!$A$20:$CR$90, MATCH('3. Appendix A'!$E$20, '2. 2013 Continuity Schedule'!$A$20:$CR$20,0),FALSE)), 0, VLOOKUP($A65, '2. 2013 Continuity Schedule'!$A$20:$CR$90, MATCH('3. Appendix A'!$E$20, '2. 2013 Continuity Schedule'!$A$20:$CR$20,0),FALSE))</f>
        <v>0</v>
      </c>
      <c r="F65" s="32"/>
    </row>
    <row r="66" spans="1:6" ht="30.75" customHeight="1" x14ac:dyDescent="0.2">
      <c r="A66" s="1">
        <v>41</v>
      </c>
      <c r="B66" s="7"/>
      <c r="C66" s="206" t="s">
        <v>290</v>
      </c>
      <c r="D66" s="204">
        <v>1576</v>
      </c>
      <c r="E66" s="27">
        <f>IF(ISERROR(VLOOKUP($A66, '2. 2013 Continuity Schedule'!$A$20:$CR$90, MATCH('3. Appendix A'!$E$20, '2. 2013 Continuity Schedule'!$A$20:$CR$20,0),FALSE)), 0, VLOOKUP($A66, '2. 2013 Continuity Schedule'!$A$20:$CR$90, MATCH('3. Appendix A'!$E$20, '2. 2013 Continuity Schedule'!$A$20:$CR$20,0),FALSE))</f>
        <v>1857468</v>
      </c>
      <c r="F66" s="32" t="s">
        <v>313</v>
      </c>
    </row>
    <row r="67" spans="1:6" ht="30.75" hidden="1" customHeight="1" x14ac:dyDescent="0.2">
      <c r="A67" s="1">
        <v>42</v>
      </c>
      <c r="B67" s="7"/>
      <c r="C67" s="205" t="s">
        <v>106</v>
      </c>
      <c r="D67" s="34">
        <v>1563</v>
      </c>
      <c r="E67" s="27">
        <f>IF(ISERROR(VLOOKUP($A67, '2. 2013 Continuity Schedule'!$A$20:$CR$90, MATCH('3. Appendix A'!$E$20, '2. 2013 Continuity Schedule'!$A$20:$CR$20,0),FALSE)), 0, VLOOKUP($A67, '2. 2013 Continuity Schedule'!$A$20:$CR$90, MATCH('3. Appendix A'!$E$20, '2. 2013 Continuity Schedule'!$A$20:$CR$20,0),FALSE))</f>
        <v>0</v>
      </c>
      <c r="F67" s="32"/>
    </row>
    <row r="68" spans="1:6" ht="30.75" customHeight="1" thickBot="1" x14ac:dyDescent="0.25">
      <c r="A68" s="1">
        <v>43</v>
      </c>
      <c r="B68" s="7"/>
      <c r="C68" s="206" t="s">
        <v>72</v>
      </c>
      <c r="D68" s="31">
        <v>1592</v>
      </c>
      <c r="E68" s="27">
        <f>IF(ISERROR(VLOOKUP($A68, '2. 2013 Continuity Schedule'!$A$20:$CR$90, MATCH('3. Appendix A'!$E$20, '2. 2013 Continuity Schedule'!$A$20:$CR$20,0),FALSE)), 0, VLOOKUP($A68, '2. 2013 Continuity Schedule'!$A$20:$CR$90, MATCH('3. Appendix A'!$E$20, '2. 2013 Continuity Schedule'!$A$20:$CR$20,0),FALSE))</f>
        <v>-305081.93000000005</v>
      </c>
      <c r="F68" s="213" t="s">
        <v>311</v>
      </c>
    </row>
    <row r="69" spans="1:6" ht="30.75" hidden="1" customHeight="1" thickBot="1" x14ac:dyDescent="0.25">
      <c r="A69" s="1">
        <v>44</v>
      </c>
      <c r="B69" s="7"/>
      <c r="C69" s="207" t="s">
        <v>108</v>
      </c>
      <c r="D69" s="34">
        <v>1595</v>
      </c>
      <c r="E69" s="27">
        <f>IF(ISERROR(VLOOKUP($A69, '2. 2013 Continuity Schedule'!$A$20:$CR$90, MATCH('3. Appendix A'!$E$20, '2. 2013 Continuity Schedule'!$A$20:$CR$20,0),FALSE)), 0, VLOOKUP($A69, '2. 2013 Continuity Schedule'!$A$20:$CR$90, MATCH('3. Appendix A'!$E$20, '2. 2013 Continuity Schedule'!$A$20:$CR$20,0),FALSE))</f>
        <v>0</v>
      </c>
      <c r="F69" s="38"/>
    </row>
    <row r="70" spans="1:6" x14ac:dyDescent="0.2">
      <c r="C70" s="40"/>
      <c r="D70" s="40"/>
      <c r="E70" s="40"/>
    </row>
  </sheetData>
  <sheetProtection password="F8BD" sheet="1" objects="1" scenarios="1"/>
  <mergeCells count="5">
    <mergeCell ref="E20:E22"/>
    <mergeCell ref="F20:F22"/>
    <mergeCell ref="C20:C22"/>
    <mergeCell ref="D20:D22"/>
    <mergeCell ref="B16:E16"/>
  </mergeCells>
  <phoneticPr fontId="13" type="noConversion"/>
  <conditionalFormatting sqref="F24:F34 F36:F69">
    <cfRule type="expression" dxfId="5" priority="4" stopIfTrue="1">
      <formula>ISBLANK(F24)</formula>
    </cfRule>
  </conditionalFormatting>
  <printOptions horizontalCentered="1"/>
  <pageMargins left="0.23622047244094499" right="0.23622047244094499" top="0.99803149599999996" bottom="0.30118110199999998" header="0.31496062992126" footer="0.31496062992126"/>
  <pageSetup scale="50" orientation="landscape" r:id="rId1"/>
  <headerFooter scaleWithDoc="0">
    <oddHeader>&amp;RHaldimand County Hydro Inc.
EB-2013-0134
Settlement Proposal
APPENDIX L
Filed:  April 4, 2014
Page &amp;P of &amp;N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6:N47"/>
  <sheetViews>
    <sheetView topLeftCell="A13" workbookViewId="0">
      <selection activeCell="K47" sqref="K47"/>
    </sheetView>
  </sheetViews>
  <sheetFormatPr defaultRowHeight="12.75" x14ac:dyDescent="0.2"/>
  <cols>
    <col min="2" max="2" width="41.285156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3" width="23.28515625" customWidth="1"/>
    <col min="14" max="14" width="20" customWidth="1"/>
  </cols>
  <sheetData>
    <row r="16" spans="2:9" ht="12.75" customHeight="1" x14ac:dyDescent="0.2">
      <c r="B16" s="272" t="s">
        <v>145</v>
      </c>
      <c r="C16" s="272"/>
      <c r="D16" s="272"/>
      <c r="E16" s="272"/>
      <c r="F16" s="272"/>
      <c r="G16" s="272"/>
      <c r="H16" s="272"/>
      <c r="I16" s="272"/>
    </row>
    <row r="17" spans="2:14" x14ac:dyDescent="0.2">
      <c r="B17" s="272"/>
      <c r="C17" s="272"/>
      <c r="D17" s="272"/>
      <c r="E17" s="272"/>
      <c r="F17" s="272"/>
      <c r="G17" s="272"/>
      <c r="H17" s="272"/>
      <c r="I17" s="272"/>
    </row>
    <row r="19" spans="2:14" x14ac:dyDescent="0.2">
      <c r="B19" s="279" t="s">
        <v>158</v>
      </c>
      <c r="C19" s="278" t="s">
        <v>143</v>
      </c>
      <c r="D19" s="273" t="s">
        <v>157</v>
      </c>
      <c r="E19" s="273" t="s">
        <v>137</v>
      </c>
      <c r="F19" s="273" t="s">
        <v>138</v>
      </c>
      <c r="G19" s="277" t="s">
        <v>131</v>
      </c>
      <c r="H19" s="277" t="s">
        <v>132</v>
      </c>
      <c r="I19" s="277" t="s">
        <v>133</v>
      </c>
      <c r="J19" s="277" t="s">
        <v>146</v>
      </c>
      <c r="K19" s="274" t="s">
        <v>134</v>
      </c>
      <c r="L19" s="274" t="s">
        <v>135</v>
      </c>
      <c r="M19" s="274" t="s">
        <v>136</v>
      </c>
      <c r="N19" s="275" t="s">
        <v>140</v>
      </c>
    </row>
    <row r="20" spans="2:14" ht="45.75" customHeight="1" x14ac:dyDescent="0.2">
      <c r="B20" s="280"/>
      <c r="C20" s="278"/>
      <c r="D20" s="273"/>
      <c r="E20" s="273"/>
      <c r="F20" s="273"/>
      <c r="G20" s="277"/>
      <c r="H20" s="277"/>
      <c r="I20" s="277"/>
      <c r="J20" s="277"/>
      <c r="K20" s="274"/>
      <c r="L20" s="274"/>
      <c r="M20" s="274"/>
      <c r="N20" s="275"/>
    </row>
    <row r="21" spans="2:14" x14ac:dyDescent="0.2">
      <c r="B21" s="210" t="s">
        <v>300</v>
      </c>
      <c r="C21" s="211" t="s">
        <v>306</v>
      </c>
      <c r="D21" s="212">
        <v>18825</v>
      </c>
      <c r="E21" s="212">
        <v>169468358</v>
      </c>
      <c r="F21" s="212"/>
      <c r="G21" s="212">
        <v>17041738</v>
      </c>
      <c r="H21" s="119">
        <f>IF(ISERROR(F21/E21*G21), 0, F21/E21*G21)</f>
        <v>0</v>
      </c>
      <c r="I21" s="212">
        <v>8046257</v>
      </c>
      <c r="J21" s="212"/>
      <c r="K21" s="212"/>
      <c r="L21" s="212"/>
      <c r="M21" s="212">
        <v>0.82069999999999999</v>
      </c>
      <c r="N21" s="212">
        <v>40584.17</v>
      </c>
    </row>
    <row r="22" spans="2:14" x14ac:dyDescent="0.2">
      <c r="B22" s="210" t="s">
        <v>301</v>
      </c>
      <c r="C22" s="211" t="s">
        <v>306</v>
      </c>
      <c r="D22" s="212">
        <v>2344</v>
      </c>
      <c r="E22" s="212">
        <v>53958437</v>
      </c>
      <c r="F22" s="212"/>
      <c r="G22" s="212">
        <v>14831016</v>
      </c>
      <c r="H22" s="119">
        <f t="shared" ref="H22:H40" si="0">IF(ISERROR(F22/E22*G22), 0, F22/E22*G22)</f>
        <v>0</v>
      </c>
      <c r="I22" s="212">
        <v>1783761</v>
      </c>
      <c r="J22" s="212"/>
      <c r="K22" s="212"/>
      <c r="L22" s="212"/>
      <c r="M22" s="212">
        <v>0.21929999999999999</v>
      </c>
      <c r="N22" s="212">
        <v>24894.55</v>
      </c>
    </row>
    <row r="23" spans="2:14" x14ac:dyDescent="0.2">
      <c r="B23" s="210" t="s">
        <v>302</v>
      </c>
      <c r="C23" s="211" t="s">
        <v>307</v>
      </c>
      <c r="D23" s="212">
        <v>158</v>
      </c>
      <c r="E23" s="212">
        <v>119543613</v>
      </c>
      <c r="F23" s="212">
        <v>335700</v>
      </c>
      <c r="G23" s="212">
        <v>109684851</v>
      </c>
      <c r="H23" s="119">
        <f t="shared" si="0"/>
        <v>308014.82033757836</v>
      </c>
      <c r="I23" s="212">
        <v>1479131</v>
      </c>
      <c r="J23" s="212"/>
      <c r="K23" s="212"/>
      <c r="L23" s="212"/>
      <c r="M23" s="212">
        <v>-0.12870000000000001</v>
      </c>
      <c r="N23" s="212">
        <v>18339.560000000001</v>
      </c>
    </row>
    <row r="24" spans="2:14" x14ac:dyDescent="0.2">
      <c r="B24" s="210" t="s">
        <v>303</v>
      </c>
      <c r="C24" s="211" t="s">
        <v>307</v>
      </c>
      <c r="D24" s="212">
        <v>496</v>
      </c>
      <c r="E24" s="212">
        <v>320970</v>
      </c>
      <c r="F24" s="212">
        <v>892</v>
      </c>
      <c r="G24" s="212">
        <v>53290</v>
      </c>
      <c r="H24" s="119">
        <f t="shared" si="0"/>
        <v>148.09695610181637</v>
      </c>
      <c r="I24" s="212">
        <v>117447</v>
      </c>
      <c r="J24" s="212"/>
      <c r="K24" s="212"/>
      <c r="L24" s="212"/>
      <c r="M24" s="212">
        <v>1.52E-2</v>
      </c>
      <c r="N24" s="212"/>
    </row>
    <row r="25" spans="2:14" x14ac:dyDescent="0.2">
      <c r="B25" s="210" t="s">
        <v>304</v>
      </c>
      <c r="C25" s="211" t="s">
        <v>307</v>
      </c>
      <c r="D25" s="212">
        <v>2</v>
      </c>
      <c r="E25" s="212">
        <v>2355438</v>
      </c>
      <c r="F25" s="212">
        <v>6564</v>
      </c>
      <c r="G25" s="212">
        <v>2343661</v>
      </c>
      <c r="H25" s="119">
        <f t="shared" si="0"/>
        <v>6531.1805294811411</v>
      </c>
      <c r="I25" s="212">
        <v>299398</v>
      </c>
      <c r="J25" s="212"/>
      <c r="K25" s="212"/>
      <c r="L25" s="212"/>
      <c r="M25" s="212">
        <v>6.9400000000000003E-2</v>
      </c>
      <c r="N25" s="212"/>
    </row>
    <row r="26" spans="2:14" x14ac:dyDescent="0.2">
      <c r="B26" s="210" t="s">
        <v>305</v>
      </c>
      <c r="C26" s="211" t="s">
        <v>306</v>
      </c>
      <c r="D26" s="212">
        <v>67</v>
      </c>
      <c r="E26" s="212">
        <v>350485</v>
      </c>
      <c r="F26" s="212"/>
      <c r="G26" s="212">
        <v>59761</v>
      </c>
      <c r="H26" s="119">
        <f t="shared" si="0"/>
        <v>0</v>
      </c>
      <c r="I26" s="212">
        <v>16575</v>
      </c>
      <c r="J26" s="212"/>
      <c r="K26" s="212"/>
      <c r="L26" s="212"/>
      <c r="M26" s="212">
        <v>4.1000000000000003E-3</v>
      </c>
      <c r="N26" s="212"/>
    </row>
    <row r="27" spans="2:14" x14ac:dyDescent="0.2">
      <c r="B27" s="210"/>
      <c r="C27" s="211"/>
      <c r="D27" s="212"/>
      <c r="E27" s="212"/>
      <c r="F27" s="212"/>
      <c r="G27" s="212"/>
      <c r="H27" s="119">
        <f t="shared" si="0"/>
        <v>0</v>
      </c>
      <c r="I27" s="212"/>
      <c r="J27" s="212"/>
      <c r="K27" s="212"/>
      <c r="L27" s="212"/>
      <c r="M27" s="212"/>
      <c r="N27" s="212"/>
    </row>
    <row r="28" spans="2:14" x14ac:dyDescent="0.2">
      <c r="B28" s="210"/>
      <c r="C28" s="211"/>
      <c r="D28" s="212"/>
      <c r="E28" s="212"/>
      <c r="F28" s="212"/>
      <c r="G28" s="212"/>
      <c r="H28" s="119">
        <f t="shared" si="0"/>
        <v>0</v>
      </c>
      <c r="I28" s="212"/>
      <c r="J28" s="212"/>
      <c r="K28" s="212"/>
      <c r="L28" s="212"/>
      <c r="M28" s="212"/>
      <c r="N28" s="212"/>
    </row>
    <row r="29" spans="2:14" x14ac:dyDescent="0.2">
      <c r="B29" s="210"/>
      <c r="C29" s="211"/>
      <c r="D29" s="212"/>
      <c r="E29" s="212"/>
      <c r="F29" s="212"/>
      <c r="G29" s="212"/>
      <c r="H29" s="119">
        <f t="shared" si="0"/>
        <v>0</v>
      </c>
      <c r="I29" s="212"/>
      <c r="J29" s="212"/>
      <c r="K29" s="212"/>
      <c r="L29" s="212"/>
      <c r="M29" s="212"/>
      <c r="N29" s="212"/>
    </row>
    <row r="30" spans="2:14" x14ac:dyDescent="0.2">
      <c r="B30" s="210"/>
      <c r="C30" s="211"/>
      <c r="D30" s="212"/>
      <c r="E30" s="212"/>
      <c r="F30" s="212"/>
      <c r="G30" s="212"/>
      <c r="H30" s="119">
        <f t="shared" si="0"/>
        <v>0</v>
      </c>
      <c r="I30" s="212"/>
      <c r="J30" s="212"/>
      <c r="K30" s="212"/>
      <c r="L30" s="212"/>
      <c r="M30" s="212"/>
      <c r="N30" s="212"/>
    </row>
    <row r="31" spans="2:14" x14ac:dyDescent="0.2">
      <c r="B31" s="210"/>
      <c r="C31" s="211"/>
      <c r="D31" s="212"/>
      <c r="E31" s="212"/>
      <c r="F31" s="212"/>
      <c r="G31" s="212"/>
      <c r="H31" s="119">
        <f t="shared" si="0"/>
        <v>0</v>
      </c>
      <c r="I31" s="212"/>
      <c r="J31" s="212"/>
      <c r="K31" s="212"/>
      <c r="L31" s="212"/>
      <c r="M31" s="212"/>
      <c r="N31" s="212"/>
    </row>
    <row r="32" spans="2:14" x14ac:dyDescent="0.2">
      <c r="B32" s="210"/>
      <c r="C32" s="211"/>
      <c r="D32" s="212"/>
      <c r="E32" s="212"/>
      <c r="F32" s="212"/>
      <c r="G32" s="212"/>
      <c r="H32" s="119">
        <f t="shared" si="0"/>
        <v>0</v>
      </c>
      <c r="I32" s="212"/>
      <c r="J32" s="212"/>
      <c r="K32" s="212"/>
      <c r="L32" s="212"/>
      <c r="M32" s="212"/>
      <c r="N32" s="212"/>
    </row>
    <row r="33" spans="1:14" x14ac:dyDescent="0.2">
      <c r="B33" s="210"/>
      <c r="C33" s="211"/>
      <c r="D33" s="212"/>
      <c r="E33" s="212"/>
      <c r="F33" s="212"/>
      <c r="G33" s="212"/>
      <c r="H33" s="119">
        <f t="shared" si="0"/>
        <v>0</v>
      </c>
      <c r="I33" s="212"/>
      <c r="J33" s="212"/>
      <c r="K33" s="212"/>
      <c r="L33" s="212"/>
      <c r="M33" s="212"/>
      <c r="N33" s="212"/>
    </row>
    <row r="34" spans="1:14" x14ac:dyDescent="0.2">
      <c r="B34" s="210"/>
      <c r="C34" s="211"/>
      <c r="D34" s="212"/>
      <c r="E34" s="212"/>
      <c r="F34" s="212"/>
      <c r="G34" s="212"/>
      <c r="H34" s="119">
        <f t="shared" si="0"/>
        <v>0</v>
      </c>
      <c r="I34" s="212"/>
      <c r="J34" s="212"/>
      <c r="K34" s="212"/>
      <c r="L34" s="212"/>
      <c r="M34" s="212"/>
      <c r="N34" s="212"/>
    </row>
    <row r="35" spans="1:14" x14ac:dyDescent="0.2">
      <c r="B35" s="210"/>
      <c r="C35" s="211"/>
      <c r="D35" s="212"/>
      <c r="E35" s="212"/>
      <c r="F35" s="212"/>
      <c r="G35" s="212"/>
      <c r="H35" s="119">
        <f t="shared" si="0"/>
        <v>0</v>
      </c>
      <c r="I35" s="212"/>
      <c r="J35" s="212"/>
      <c r="K35" s="212"/>
      <c r="L35" s="212"/>
      <c r="M35" s="212"/>
      <c r="N35" s="212"/>
    </row>
    <row r="36" spans="1:14" x14ac:dyDescent="0.2">
      <c r="B36" s="210"/>
      <c r="C36" s="211"/>
      <c r="D36" s="212"/>
      <c r="E36" s="212"/>
      <c r="F36" s="212"/>
      <c r="G36" s="212"/>
      <c r="H36" s="119">
        <f t="shared" si="0"/>
        <v>0</v>
      </c>
      <c r="I36" s="212"/>
      <c r="J36" s="212"/>
      <c r="K36" s="212"/>
      <c r="L36" s="212"/>
      <c r="M36" s="212"/>
      <c r="N36" s="212"/>
    </row>
    <row r="37" spans="1:14" x14ac:dyDescent="0.2">
      <c r="B37" s="210"/>
      <c r="C37" s="211"/>
      <c r="D37" s="212"/>
      <c r="E37" s="212"/>
      <c r="F37" s="212"/>
      <c r="G37" s="212"/>
      <c r="H37" s="119">
        <f t="shared" si="0"/>
        <v>0</v>
      </c>
      <c r="I37" s="212"/>
      <c r="J37" s="212"/>
      <c r="K37" s="212"/>
      <c r="L37" s="212"/>
      <c r="M37" s="212"/>
      <c r="N37" s="212"/>
    </row>
    <row r="38" spans="1:14" x14ac:dyDescent="0.2">
      <c r="B38" s="210"/>
      <c r="C38" s="211"/>
      <c r="D38" s="212"/>
      <c r="E38" s="212"/>
      <c r="F38" s="212"/>
      <c r="G38" s="212"/>
      <c r="H38" s="119">
        <f t="shared" si="0"/>
        <v>0</v>
      </c>
      <c r="I38" s="212"/>
      <c r="J38" s="212"/>
      <c r="K38" s="212"/>
      <c r="L38" s="212"/>
      <c r="M38" s="212"/>
      <c r="N38" s="212"/>
    </row>
    <row r="39" spans="1:14" x14ac:dyDescent="0.2">
      <c r="B39" s="210"/>
      <c r="C39" s="211"/>
      <c r="D39" s="212"/>
      <c r="E39" s="212"/>
      <c r="F39" s="212"/>
      <c r="G39" s="212"/>
      <c r="H39" s="119">
        <f t="shared" si="0"/>
        <v>0</v>
      </c>
      <c r="I39" s="212"/>
      <c r="J39" s="212"/>
      <c r="K39" s="212"/>
      <c r="L39" s="212"/>
      <c r="M39" s="212"/>
      <c r="N39" s="212"/>
    </row>
    <row r="40" spans="1:14" x14ac:dyDescent="0.2">
      <c r="B40" s="210"/>
      <c r="C40" s="211"/>
      <c r="D40" s="212"/>
      <c r="E40" s="212"/>
      <c r="F40" s="212"/>
      <c r="G40" s="212"/>
      <c r="H40" s="119">
        <f t="shared" si="0"/>
        <v>0</v>
      </c>
      <c r="I40" s="212"/>
      <c r="J40" s="212"/>
      <c r="K40" s="212"/>
      <c r="L40" s="212"/>
      <c r="M40" s="212"/>
      <c r="N40" s="212"/>
    </row>
    <row r="41" spans="1:14" x14ac:dyDescent="0.2">
      <c r="B41" s="66" t="s">
        <v>144</v>
      </c>
      <c r="C41" s="65"/>
      <c r="D41" s="96">
        <f>SUM(D21:D40)</f>
        <v>21892</v>
      </c>
      <c r="E41" s="96">
        <f>SUM(E21:E40)</f>
        <v>345997301</v>
      </c>
      <c r="F41" s="96">
        <f t="shared" ref="F41:N41" si="1">SUM(F21:F40)</f>
        <v>343156</v>
      </c>
      <c r="G41" s="96">
        <f t="shared" si="1"/>
        <v>144014317</v>
      </c>
      <c r="H41" s="96">
        <f t="shared" si="1"/>
        <v>314694.09782316134</v>
      </c>
      <c r="I41" s="67">
        <f t="shared" si="1"/>
        <v>11742569</v>
      </c>
      <c r="J41" s="97">
        <f t="shared" si="1"/>
        <v>0</v>
      </c>
      <c r="K41" s="97">
        <f t="shared" si="1"/>
        <v>0</v>
      </c>
      <c r="L41" s="97">
        <f t="shared" si="1"/>
        <v>0</v>
      </c>
      <c r="M41" s="97">
        <f t="shared" si="1"/>
        <v>1</v>
      </c>
      <c r="N41" s="67">
        <f t="shared" si="1"/>
        <v>83818.28</v>
      </c>
    </row>
    <row r="42" spans="1:14" x14ac:dyDescent="0.2">
      <c r="B42" s="60"/>
      <c r="M42" s="68" t="s">
        <v>147</v>
      </c>
      <c r="N42" s="69">
        <f>'2. 2013 Continuity Schedule'!CP72</f>
        <v>83818.25</v>
      </c>
    </row>
    <row r="43" spans="1:14" x14ac:dyDescent="0.2">
      <c r="B43" s="60"/>
      <c r="M43" s="68" t="s">
        <v>148</v>
      </c>
      <c r="N43" s="70">
        <f>N41-N42</f>
        <v>2.9999999998835847E-2</v>
      </c>
    </row>
    <row r="44" spans="1:14" x14ac:dyDescent="0.2">
      <c r="B44" s="60"/>
    </row>
    <row r="45" spans="1:14" x14ac:dyDescent="0.2">
      <c r="A45" s="276" t="s">
        <v>141</v>
      </c>
      <c r="B45" s="276"/>
      <c r="C45" s="276"/>
      <c r="D45" s="276"/>
      <c r="E45" s="276"/>
      <c r="F45" s="276"/>
      <c r="G45" s="276"/>
      <c r="H45" s="276"/>
    </row>
    <row r="46" spans="1:14" ht="25.5" customHeight="1" x14ac:dyDescent="0.2">
      <c r="A46" s="276"/>
      <c r="B46" s="276"/>
      <c r="C46" s="276"/>
      <c r="D46" s="276"/>
      <c r="E46" s="276"/>
      <c r="F46" s="276"/>
      <c r="G46" s="276"/>
      <c r="H46" s="276"/>
    </row>
    <row r="47" spans="1:14" ht="17.25" x14ac:dyDescent="0.2">
      <c r="A47" s="276" t="s">
        <v>142</v>
      </c>
      <c r="B47" s="276"/>
      <c r="C47" s="276"/>
      <c r="D47" s="276"/>
      <c r="E47" s="276"/>
      <c r="F47" s="276"/>
      <c r="G47" s="276"/>
      <c r="H47" s="276"/>
    </row>
  </sheetData>
  <sheetProtection password="F8BD" sheet="1" objects="1" scenarios="1"/>
  <mergeCells count="16">
    <mergeCell ref="A47:H47"/>
    <mergeCell ref="F19:F20"/>
    <mergeCell ref="E19:E20"/>
    <mergeCell ref="C19:C20"/>
    <mergeCell ref="B19:B20"/>
    <mergeCell ref="G19:G20"/>
    <mergeCell ref="H19:H20"/>
    <mergeCell ref="B16:I17"/>
    <mergeCell ref="D19:D20"/>
    <mergeCell ref="M19:M20"/>
    <mergeCell ref="N19:N20"/>
    <mergeCell ref="A45:H46"/>
    <mergeCell ref="I19:I20"/>
    <mergeCell ref="J19:J20"/>
    <mergeCell ref="K19:K20"/>
    <mergeCell ref="L19:L20"/>
  </mergeCells>
  <dataValidations count="1">
    <dataValidation type="list" allowBlank="1" showInputMessage="1" showErrorMessage="1" sqref="C21:C40">
      <formula1>"kW, kWh"</formula1>
    </dataValidation>
  </dataValidations>
  <printOptions horizontalCentered="1"/>
  <pageMargins left="0.39370078740157499" right="0.23622047244094499" top="0.99803149599999996" bottom="0.55118110236220497" header="0.31496062992126" footer="0.31496062992126"/>
  <pageSetup paperSize="17" scale="70" orientation="landscape" r:id="rId1"/>
  <headerFooter scaleWithDoc="0">
    <oddHeader>&amp;RHaldimand County Hydro Inc.
EB-2013-0134
Settlement Proposal
APPENDIX L
Filed:  April 4, 2014
Page &amp;P of &amp;N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56"/>
  <sheetViews>
    <sheetView topLeftCell="A19" zoomScaleNormal="100" workbookViewId="0"/>
  </sheetViews>
  <sheetFormatPr defaultColWidth="9.140625" defaultRowHeight="12.75" x14ac:dyDescent="0.2"/>
  <cols>
    <col min="1" max="1" width="1.140625" style="60" customWidth="1"/>
    <col min="2" max="2" width="66.28515625" style="60" bestFit="1" customWidth="1"/>
    <col min="3" max="3" width="9.140625" style="60"/>
    <col min="4" max="4" width="14.5703125" style="60" customWidth="1"/>
    <col min="5" max="5" width="14.7109375" style="60" customWidth="1"/>
    <col min="6" max="25" width="24.140625" style="60" customWidth="1"/>
    <col min="26" max="16384" width="9.140625" style="60"/>
  </cols>
  <sheetData>
    <row r="1" spans="2:25" ht="143.25" customHeight="1" x14ac:dyDescent="0.2"/>
    <row r="4" spans="2:25" ht="39" customHeight="1" x14ac:dyDescent="0.2">
      <c r="D4" s="72" t="s">
        <v>162</v>
      </c>
      <c r="E4" s="71" t="s">
        <v>155</v>
      </c>
      <c r="F4" s="72" t="str">
        <f>IF(LEN(TRIM('4. Billing Determinants'!$B21))=0, "", '4. Billing Determinants'!$B21)</f>
        <v>Residential</v>
      </c>
      <c r="G4" s="72" t="str">
        <f>IF(LEN(TRIM('4. Billing Determinants'!$B22))=0, "", '4. Billing Determinants'!$B22)</f>
        <v>General Service Less Than 50 kW</v>
      </c>
      <c r="H4" s="72" t="str">
        <f>IF(LEN(TRIM('4. Billing Determinants'!$B23))=0, "", '4. Billing Determinants'!$B23)</f>
        <v>General Service 50 to 4,999 kW</v>
      </c>
      <c r="I4" s="72" t="str">
        <f>IF(LEN(TRIM('4. Billing Determinants'!$B24))=0, "", '4. Billing Determinants'!$B24)</f>
        <v>Sentinel Lighting</v>
      </c>
      <c r="J4" s="72" t="str">
        <f>IF(LEN(TRIM('4. Billing Determinants'!$B25))=0, "", '4. Billing Determinants'!$B25)</f>
        <v>Street Lighting</v>
      </c>
      <c r="K4" s="72" t="str">
        <f>IF(LEN(TRIM('4. Billing Determinants'!$B26))=0, "", '4. Billing Determinants'!$B26)</f>
        <v>Unmetered Scattered Load</v>
      </c>
      <c r="L4" s="72" t="str">
        <f>IF(LEN(TRIM('4. Billing Determinants'!$B27))=0, "", '4. Billing Determinants'!$B27)</f>
        <v/>
      </c>
      <c r="M4" s="72" t="str">
        <f>IF(LEN(TRIM('4. Billing Determinants'!$B28))=0, "", '4. Billing Determinants'!$B28)</f>
        <v/>
      </c>
      <c r="N4" s="72" t="str">
        <f>IF(LEN(TRIM('4. Billing Determinants'!$B29))=0, "", '4. Billing Determinants'!$B29)</f>
        <v/>
      </c>
      <c r="O4" s="72" t="str">
        <f>IF(LEN(TRIM('4. Billing Determinants'!$B30))=0, "", '4. Billing Determinants'!$B30)</f>
        <v/>
      </c>
      <c r="P4" s="72" t="str">
        <f>IF(LEN(TRIM('4. Billing Determinants'!$B31))=0, "", '4. Billing Determinants'!$B31)</f>
        <v/>
      </c>
      <c r="Q4" s="72" t="str">
        <f>IF(LEN(TRIM('4. Billing Determinants'!$B32))=0, "", '4. Billing Determinants'!$B32)</f>
        <v/>
      </c>
      <c r="R4" s="72" t="str">
        <f>IF(LEN(TRIM('4. Billing Determinants'!$B33))=0, "", '4. Billing Determinants'!$B33)</f>
        <v/>
      </c>
      <c r="S4" s="72" t="str">
        <f>IF(LEN(TRIM('4. Billing Determinants'!$B34))=0, "", '4. Billing Determinants'!$B34)</f>
        <v/>
      </c>
      <c r="T4" s="72" t="str">
        <f>IF(LEN(TRIM('4. Billing Determinants'!$B35))=0, "", '4. Billing Determinants'!$B35)</f>
        <v/>
      </c>
      <c r="U4" s="72" t="str">
        <f>IF(LEN(TRIM('4. Billing Determinants'!$B36))=0, "", '4. Billing Determinants'!$B36)</f>
        <v/>
      </c>
      <c r="V4" s="72" t="str">
        <f>IF(LEN(TRIM('4. Billing Determinants'!$B37))=0, "", '4. Billing Determinants'!$B37)</f>
        <v/>
      </c>
      <c r="W4" s="72" t="str">
        <f>IF(LEN(TRIM('4. Billing Determinants'!$B38))=0, "", '4. Billing Determinants'!$B38)</f>
        <v/>
      </c>
      <c r="X4" s="72" t="str">
        <f>IF(LEN(TRIM('4. Billing Determinants'!$B39))=0, "", '4. Billing Determinants'!$B39)</f>
        <v/>
      </c>
      <c r="Y4" s="72" t="str">
        <f>IF(LEN(TRIM('4. Billing Determinants'!$B40))=0, "", '4. Billing Determinants'!$B40)</f>
        <v/>
      </c>
    </row>
    <row r="5" spans="2:25" x14ac:dyDescent="0.2">
      <c r="B5" s="73" t="s">
        <v>62</v>
      </c>
      <c r="C5" s="74">
        <v>1550</v>
      </c>
      <c r="D5" s="75">
        <f>'2. 2013 Continuity Schedule'!CP24</f>
        <v>-21465.340000000026</v>
      </c>
      <c r="E5" s="208" t="s">
        <v>306</v>
      </c>
      <c r="F5" s="75">
        <f>IFERROR(IF(F$4="",0,IF($E5="kWh",VLOOKUP(F$4,'4. Billing Determinants'!$B$19:$N$41,4,0)/'4. Billing Determinants'!$E$41*$D5,IF($E5="kW",VLOOKUP(F$4,'4. Billing Determinants'!$B$19:$N$41,5,0)/'4. Billing Determinants'!$F$41*$D5,IF($E5="Non-RPP kWh",VLOOKUP(F$4,'4. Billing Determinants'!$B$19:$N$41,6,0)/'4. Billing Determinants'!$G$41*$D5,IF($E5="Distribution Rev.",VLOOKUP(F$4,'4. Billing Determinants'!$B$19:$N$41,8,0)/'4. Billing Determinants'!$I$41*$D5, VLOOKUP(F$4,'4. Billing Determinants'!$B$19:$N$41,3,0)/'4. Billing Determinants'!$D$41*$D5))))),0)</f>
        <v>-10513.654046427733</v>
      </c>
      <c r="G5" s="75">
        <f>IFERROR(IF(G$4="",0,IF($E5="kWh",VLOOKUP(G$4,'4. Billing Determinants'!$B$19:$N$41,4,0)/'4. Billing Determinants'!$E$41*$D5,IF($E5="kW",VLOOKUP(G$4,'4. Billing Determinants'!$B$19:$N$41,5,0)/'4. Billing Determinants'!$F$41*$D5,IF($E5="Non-RPP kWh",VLOOKUP(G$4,'4. Billing Determinants'!$B$19:$N$41,6,0)/'4. Billing Determinants'!$G$41*$D5,IF($E5="Distribution Rev.",VLOOKUP(G$4,'4. Billing Determinants'!$B$19:$N$41,8,0)/'4. Billing Determinants'!$I$41*$D5, VLOOKUP(G$4,'4. Billing Determinants'!$B$19:$N$41,3,0)/'4. Billing Determinants'!$D$41*$D5))))),0)</f>
        <v>-3347.5295695256918</v>
      </c>
      <c r="H5" s="75">
        <f>IFERROR(IF(H$4="",0,IF($E5="kWh",VLOOKUP(H$4,'4. Billing Determinants'!$B$19:$N$41,4,0)/'4. Billing Determinants'!$E$41*$D5,IF($E5="kW",VLOOKUP(H$4,'4. Billing Determinants'!$B$19:$N$41,5,0)/'4. Billing Determinants'!$F$41*$D5,IF($E5="Non-RPP kWh",VLOOKUP(H$4,'4. Billing Determinants'!$B$19:$N$41,6,0)/'4. Billing Determinants'!$G$41*$D5,IF($E5="Distribution Rev.",VLOOKUP(H$4,'4. Billing Determinants'!$B$19:$N$41,8,0)/'4. Billing Determinants'!$I$41*$D5, VLOOKUP(H$4,'4. Billing Determinants'!$B$19:$N$41,3,0)/'4. Billing Determinants'!$D$41*$D5))))),0)</f>
        <v>-7416.3708516137331</v>
      </c>
      <c r="I5" s="75">
        <f>IFERROR(IF(I$4="",0,IF($E5="kWh",VLOOKUP(I$4,'4. Billing Determinants'!$B$19:$N$41,4,0)/'4. Billing Determinants'!$E$41*$D5,IF($E5="kW",VLOOKUP(I$4,'4. Billing Determinants'!$B$19:$N$41,5,0)/'4. Billing Determinants'!$F$41*$D5,IF($E5="Non-RPP kWh",VLOOKUP(I$4,'4. Billing Determinants'!$B$19:$N$41,6,0)/'4. Billing Determinants'!$G$41*$D5,IF($E5="Distribution Rev.",VLOOKUP(I$4,'4. Billing Determinants'!$B$19:$N$41,8,0)/'4. Billing Determinants'!$I$41*$D5, VLOOKUP(I$4,'4. Billing Determinants'!$B$19:$N$41,3,0)/'4. Billing Determinants'!$D$41*$D5))))),0)</f>
        <v>-19.912670300858814</v>
      </c>
      <c r="J5" s="75">
        <f>IFERROR(IF(J$4="",0,IF($E5="kWh",VLOOKUP(J$4,'4. Billing Determinants'!$B$19:$N$41,4,0)/'4. Billing Determinants'!$E$41*$D5,IF($E5="kW",VLOOKUP(J$4,'4. Billing Determinants'!$B$19:$N$41,5,0)/'4. Billing Determinants'!$F$41*$D5,IF($E5="Non-RPP kWh",VLOOKUP(J$4,'4. Billing Determinants'!$B$19:$N$41,6,0)/'4. Billing Determinants'!$G$41*$D5,IF($E5="Distribution Rev.",VLOOKUP(J$4,'4. Billing Determinants'!$B$19:$N$41,8,0)/'4. Billing Determinants'!$I$41*$D5, VLOOKUP(J$4,'4. Billing Determinants'!$B$19:$N$41,3,0)/'4. Billing Determinants'!$D$41*$D5))))),0)</f>
        <v>-146.12910959938401</v>
      </c>
      <c r="K5" s="75">
        <f>IFERROR(IF(K$4="",0,IF($E5="kWh",VLOOKUP(K$4,'4. Billing Determinants'!$B$19:$N$41,4,0)/'4. Billing Determinants'!$E$41*$D5,IF($E5="kW",VLOOKUP(K$4,'4. Billing Determinants'!$B$19:$N$41,5,0)/'4. Billing Determinants'!$F$41*$D5,IF($E5="Non-RPP kWh",VLOOKUP(K$4,'4. Billing Determinants'!$B$19:$N$41,6,0)/'4. Billing Determinants'!$G$41*$D5,IF($E5="Distribution Rev.",VLOOKUP(K$4,'4. Billing Determinants'!$B$19:$N$41,8,0)/'4. Billing Determinants'!$I$41*$D5, VLOOKUP(K$4,'4. Billing Determinants'!$B$19:$N$41,3,0)/'4. Billing Determinants'!$D$41*$D5))))),0)</f>
        <v>-21.743752532624551</v>
      </c>
      <c r="L5" s="75">
        <f>IFERROR(IF(L$4="",0,IF($E5="kWh",VLOOKUP(L$4,'4. Billing Determinants'!$B$19:$N$41,4,0)/'4. Billing Determinants'!$E$41*$D5,IF($E5="kW",VLOOKUP(L$4,'4. Billing Determinants'!$B$19:$N$41,5,0)/'4. Billing Determinants'!$F$41*$D5,IF($E5="Non-RPP kWh",VLOOKUP(L$4,'4. Billing Determinants'!$B$19:$N$41,6,0)/'4. Billing Determinants'!$G$41*$D5,IF($E5="Distribution Rev.",VLOOKUP(L$4,'4. Billing Determinants'!$B$19:$N$41,8,0)/'4. Billing Determinants'!$I$41*$D5, VLOOKUP(L$4,'4. Billing Determinants'!$B$19:$N$41,3,0)/'4. Billing Determinants'!$D$41*$D5))))),0)</f>
        <v>0</v>
      </c>
      <c r="M5" s="75">
        <f>IFERROR(IF(M$4="",0,IF($E5="kWh",VLOOKUP(M$4,'4. Billing Determinants'!$B$19:$N$41,4,0)/'4. Billing Determinants'!$E$41*$D5,IF($E5="kW",VLOOKUP(M$4,'4. Billing Determinants'!$B$19:$N$41,5,0)/'4. Billing Determinants'!$F$41*$D5,IF($E5="Non-RPP kWh",VLOOKUP(M$4,'4. Billing Determinants'!$B$19:$N$41,6,0)/'4. Billing Determinants'!$G$41*$D5,IF($E5="Distribution Rev.",VLOOKUP(M$4,'4. Billing Determinants'!$B$19:$N$41,8,0)/'4. Billing Determinants'!$I$41*$D5, VLOOKUP(M$4,'4. Billing Determinants'!$B$19:$N$41,3,0)/'4. Billing Determinants'!$D$41*$D5))))),0)</f>
        <v>0</v>
      </c>
      <c r="N5" s="75">
        <f>IFERROR(IF(N$4="",0,IF($E5="kWh",VLOOKUP(N$4,'4. Billing Determinants'!$B$19:$N$41,4,0)/'4. Billing Determinants'!$E$41*$D5,IF($E5="kW",VLOOKUP(N$4,'4. Billing Determinants'!$B$19:$N$41,5,0)/'4. Billing Determinants'!$F$41*$D5,IF($E5="Non-RPP kWh",VLOOKUP(N$4,'4. Billing Determinants'!$B$19:$N$41,6,0)/'4. Billing Determinants'!$G$41*$D5,IF($E5="Distribution Rev.",VLOOKUP(N$4,'4. Billing Determinants'!$B$19:$N$41,8,0)/'4. Billing Determinants'!$I$41*$D5, VLOOKUP(N$4,'4. Billing Determinants'!$B$19:$N$41,3,0)/'4. Billing Determinants'!$D$41*$D5))))),0)</f>
        <v>0</v>
      </c>
      <c r="O5" s="75">
        <f>IFERROR(IF(O$4="",0,IF($E5="kWh",VLOOKUP(O$4,'4. Billing Determinants'!$B$19:$N$41,4,0)/'4. Billing Determinants'!$E$41*$D5,IF($E5="kW",VLOOKUP(O$4,'4. Billing Determinants'!$B$19:$N$41,5,0)/'4. Billing Determinants'!$F$41*$D5,IF($E5="Non-RPP kWh",VLOOKUP(O$4,'4. Billing Determinants'!$B$19:$N$41,6,0)/'4. Billing Determinants'!$G$41*$D5,IF($E5="Distribution Rev.",VLOOKUP(O$4,'4. Billing Determinants'!$B$19:$N$41,8,0)/'4. Billing Determinants'!$I$41*$D5, VLOOKUP(O$4,'4. Billing Determinants'!$B$19:$N$41,3,0)/'4. Billing Determinants'!$D$41*$D5))))),0)</f>
        <v>0</v>
      </c>
      <c r="P5" s="75">
        <f>IFERROR(IF(P$4="",0,IF($E5="kWh",VLOOKUP(P$4,'4. Billing Determinants'!$B$19:$N$41,4,0)/'4. Billing Determinants'!$E$41*$D5,IF($E5="kW",VLOOKUP(P$4,'4. Billing Determinants'!$B$19:$N$41,5,0)/'4. Billing Determinants'!$F$41*$D5,IF($E5="Non-RPP kWh",VLOOKUP(P$4,'4. Billing Determinants'!$B$19:$N$41,6,0)/'4. Billing Determinants'!$G$41*$D5,IF($E5="Distribution Rev.",VLOOKUP(P$4,'4. Billing Determinants'!$B$19:$N$41,8,0)/'4. Billing Determinants'!$I$41*$D5, VLOOKUP(P$4,'4. Billing Determinants'!$B$19:$N$41,3,0)/'4. Billing Determinants'!$D$41*$D5))))),0)</f>
        <v>0</v>
      </c>
      <c r="Q5" s="75">
        <f>IFERROR(IF(Q$4="",0,IF($E5="kWh",VLOOKUP(Q$4,'4. Billing Determinants'!$B$19:$N$41,4,0)/'4. Billing Determinants'!$E$41*$D5,IF($E5="kW",VLOOKUP(Q$4,'4. Billing Determinants'!$B$19:$N$41,5,0)/'4. Billing Determinants'!$F$41*$D5,IF($E5="Non-RPP kWh",VLOOKUP(Q$4,'4. Billing Determinants'!$B$19:$N$41,6,0)/'4. Billing Determinants'!$G$41*$D5,IF($E5="Distribution Rev.",VLOOKUP(Q$4,'4. Billing Determinants'!$B$19:$N$41,8,0)/'4. Billing Determinants'!$I$41*$D5, VLOOKUP(Q$4,'4. Billing Determinants'!$B$19:$N$41,3,0)/'4. Billing Determinants'!$D$41*$D5))))),0)</f>
        <v>0</v>
      </c>
      <c r="R5" s="75">
        <f>IFERROR(IF(R$4="",0,IF($E5="kWh",VLOOKUP(R$4,'4. Billing Determinants'!$B$19:$N$41,4,0)/'4. Billing Determinants'!$E$41*$D5,IF($E5="kW",VLOOKUP(R$4,'4. Billing Determinants'!$B$19:$N$41,5,0)/'4. Billing Determinants'!$F$41*$D5,IF($E5="Non-RPP kWh",VLOOKUP(R$4,'4. Billing Determinants'!$B$19:$N$41,6,0)/'4. Billing Determinants'!$G$41*$D5,IF($E5="Distribution Rev.",VLOOKUP(R$4,'4. Billing Determinants'!$B$19:$N$41,8,0)/'4. Billing Determinants'!$I$41*$D5, VLOOKUP(R$4,'4. Billing Determinants'!$B$19:$N$41,3,0)/'4. Billing Determinants'!$D$41*$D5))))),0)</f>
        <v>0</v>
      </c>
      <c r="S5" s="75">
        <f>IFERROR(IF(S$4="",0,IF($E5="kWh",VLOOKUP(S$4,'4. Billing Determinants'!$B$19:$N$41,4,0)/'4. Billing Determinants'!$E$41*$D5,IF($E5="kW",VLOOKUP(S$4,'4. Billing Determinants'!$B$19:$N$41,5,0)/'4. Billing Determinants'!$F$41*$D5,IF($E5="Non-RPP kWh",VLOOKUP(S$4,'4. Billing Determinants'!$B$19:$N$41,6,0)/'4. Billing Determinants'!$G$41*$D5,IF($E5="Distribution Rev.",VLOOKUP(S$4,'4. Billing Determinants'!$B$19:$N$41,8,0)/'4. Billing Determinants'!$I$41*$D5, VLOOKUP(S$4,'4. Billing Determinants'!$B$19:$N$41,3,0)/'4. Billing Determinants'!$D$41*$D5))))),0)</f>
        <v>0</v>
      </c>
      <c r="T5" s="75">
        <f>IFERROR(IF(T$4="",0,IF($E5="kWh",VLOOKUP(T$4,'4. Billing Determinants'!$B$19:$N$41,4,0)/'4. Billing Determinants'!$E$41*$D5,IF($E5="kW",VLOOKUP(T$4,'4. Billing Determinants'!$B$19:$N$41,5,0)/'4. Billing Determinants'!$F$41*$D5,IF($E5="Non-RPP kWh",VLOOKUP(T$4,'4. Billing Determinants'!$B$19:$N$41,6,0)/'4. Billing Determinants'!$G$41*$D5,IF($E5="Distribution Rev.",VLOOKUP(T$4,'4. Billing Determinants'!$B$19:$N$41,8,0)/'4. Billing Determinants'!$I$41*$D5, VLOOKUP(T$4,'4. Billing Determinants'!$B$19:$N$41,3,0)/'4. Billing Determinants'!$D$41*$D5))))),0)</f>
        <v>0</v>
      </c>
      <c r="U5" s="75">
        <f>IFERROR(IF(U$4="",0,IF($E5="kWh",VLOOKUP(U$4,'4. Billing Determinants'!$B$19:$N$41,4,0)/'4. Billing Determinants'!$E$41*$D5,IF($E5="kW",VLOOKUP(U$4,'4. Billing Determinants'!$B$19:$N$41,5,0)/'4. Billing Determinants'!$F$41*$D5,IF($E5="Non-RPP kWh",VLOOKUP(U$4,'4. Billing Determinants'!$B$19:$N$41,6,0)/'4. Billing Determinants'!$G$41*$D5,IF($E5="Distribution Rev.",VLOOKUP(U$4,'4. Billing Determinants'!$B$19:$N$41,8,0)/'4. Billing Determinants'!$I$41*$D5, VLOOKUP(U$4,'4. Billing Determinants'!$B$19:$N$41,3,0)/'4. Billing Determinants'!$D$41*$D5))))),0)</f>
        <v>0</v>
      </c>
      <c r="V5" s="75">
        <f>IFERROR(IF(V$4="",0,IF($E5="kWh",VLOOKUP(V$4,'4. Billing Determinants'!$B$19:$N$41,4,0)/'4. Billing Determinants'!$E$41*$D5,IF($E5="kW",VLOOKUP(V$4,'4. Billing Determinants'!$B$19:$N$41,5,0)/'4. Billing Determinants'!$F$41*$D5,IF($E5="Non-RPP kWh",VLOOKUP(V$4,'4. Billing Determinants'!$B$19:$N$41,6,0)/'4. Billing Determinants'!$G$41*$D5,IF($E5="Distribution Rev.",VLOOKUP(V$4,'4. Billing Determinants'!$B$19:$N$41,8,0)/'4. Billing Determinants'!$I$41*$D5, VLOOKUP(V$4,'4. Billing Determinants'!$B$19:$N$41,3,0)/'4. Billing Determinants'!$D$41*$D5))))),0)</f>
        <v>0</v>
      </c>
      <c r="W5" s="75">
        <f>IFERROR(IF(W$4="",0,IF($E5="kWh",VLOOKUP(W$4,'4. Billing Determinants'!$B$19:$N$41,4,0)/'4. Billing Determinants'!$E$41*$D5,IF($E5="kW",VLOOKUP(W$4,'4. Billing Determinants'!$B$19:$N$41,5,0)/'4. Billing Determinants'!$F$41*$D5,IF($E5="Non-RPP kWh",VLOOKUP(W$4,'4. Billing Determinants'!$B$19:$N$41,6,0)/'4. Billing Determinants'!$G$41*$D5,IF($E5="Distribution Rev.",VLOOKUP(W$4,'4. Billing Determinants'!$B$19:$N$41,8,0)/'4. Billing Determinants'!$I$41*$D5, VLOOKUP(W$4,'4. Billing Determinants'!$B$19:$N$41,3,0)/'4. Billing Determinants'!$D$41*$D5))))),0)</f>
        <v>0</v>
      </c>
      <c r="X5" s="75">
        <f>IFERROR(IF(X$4="",0,IF($E5="kWh",VLOOKUP(X$4,'4. Billing Determinants'!$B$19:$N$41,4,0)/'4. Billing Determinants'!$E$41*$D5,IF($E5="kW",VLOOKUP(X$4,'4. Billing Determinants'!$B$19:$N$41,5,0)/'4. Billing Determinants'!$F$41*$D5,IF($E5="Non-RPP kWh",VLOOKUP(X$4,'4. Billing Determinants'!$B$19:$N$41,6,0)/'4. Billing Determinants'!$G$41*$D5,IF($E5="Distribution Rev.",VLOOKUP(X$4,'4. Billing Determinants'!$B$19:$N$41,8,0)/'4. Billing Determinants'!$I$41*$D5, VLOOKUP(X$4,'4. Billing Determinants'!$B$19:$N$41,3,0)/'4. Billing Determinants'!$D$41*$D5))))),0)</f>
        <v>0</v>
      </c>
      <c r="Y5" s="75">
        <f>IFERROR(IF(Y$4="",0,IF($E5="kWh",VLOOKUP(Y$4,'4. Billing Determinants'!$B$19:$N$41,4,0)/'4. Billing Determinants'!$E$41*$D5,IF($E5="kW",VLOOKUP(Y$4,'4. Billing Determinants'!$B$19:$N$41,5,0)/'4. Billing Determinants'!$F$41*$D5,IF($E5="Non-RPP kWh",VLOOKUP(Y$4,'4. Billing Determinants'!$B$19:$N$41,6,0)/'4. Billing Determinants'!$G$41*$D5,IF($E5="Distribution Rev.",VLOOKUP(Y$4,'4. Billing Determinants'!$B$19:$N$41,8,0)/'4. Billing Determinants'!$I$41*$D5, VLOOKUP(Y$4,'4. Billing Determinants'!$B$19:$N$41,3,0)/'4. Billing Determinants'!$D$41*$D5))))),0)</f>
        <v>0</v>
      </c>
    </row>
    <row r="6" spans="2:25" x14ac:dyDescent="0.2">
      <c r="B6" s="76" t="s">
        <v>1</v>
      </c>
      <c r="C6" s="74">
        <v>1580</v>
      </c>
      <c r="D6" s="75">
        <f>'2. 2013 Continuity Schedule'!CP25</f>
        <v>-637540.11999999988</v>
      </c>
      <c r="E6" s="208" t="s">
        <v>306</v>
      </c>
      <c r="F6" s="75">
        <f>IFERROR(IF(F$4="",0,IF($E6="kWh",VLOOKUP(F$4,'4. Billing Determinants'!$B$19:$N$41,4,0)/'4. Billing Determinants'!$E$41*$D6,IF($E6="kW",VLOOKUP(F$4,'4. Billing Determinants'!$B$19:$N$41,5,0)/'4. Billing Determinants'!$F$41*$D6,IF($E6="Non-RPP kWh",VLOOKUP(F$4,'4. Billing Determinants'!$B$19:$N$41,6,0)/'4. Billing Determinants'!$G$41*$D6,IF($E6="Distribution Rev.",VLOOKUP(F$4,'4. Billing Determinants'!$B$19:$N$41,8,0)/'4. Billing Determinants'!$I$41*$D6, VLOOKUP(F$4,'4. Billing Determinants'!$B$19:$N$41,3,0)/'4. Billing Determinants'!$D$41*$D6))))),0)</f>
        <v>-312265.08699130849</v>
      </c>
      <c r="G6" s="75">
        <f>IFERROR(IF(G$4="",0,IF($E6="kWh",VLOOKUP(G$4,'4. Billing Determinants'!$B$19:$N$41,4,0)/'4. Billing Determinants'!$E$41*$D6,IF($E6="kW",VLOOKUP(G$4,'4. Billing Determinants'!$B$19:$N$41,5,0)/'4. Billing Determinants'!$F$41*$D6,IF($E6="Non-RPP kWh",VLOOKUP(G$4,'4. Billing Determinants'!$B$19:$N$41,6,0)/'4. Billing Determinants'!$G$41*$D6,IF($E6="Distribution Rev.",VLOOKUP(G$4,'4. Billing Determinants'!$B$19:$N$41,8,0)/'4. Billing Determinants'!$I$41*$D6, VLOOKUP(G$4,'4. Billing Determinants'!$B$19:$N$41,3,0)/'4. Billing Determinants'!$D$41*$D6))))),0)</f>
        <v>-99424.672679722527</v>
      </c>
      <c r="H6" s="75">
        <f>IFERROR(IF(H$4="",0,IF($E6="kWh",VLOOKUP(H$4,'4. Billing Determinants'!$B$19:$N$41,4,0)/'4. Billing Determinants'!$E$41*$D6,IF($E6="kW",VLOOKUP(H$4,'4. Billing Determinants'!$B$19:$N$41,5,0)/'4. Billing Determinants'!$F$41*$D6,IF($E6="Non-RPP kWh",VLOOKUP(H$4,'4. Billing Determinants'!$B$19:$N$41,6,0)/'4. Billing Determinants'!$G$41*$D6,IF($E6="Distribution Rev.",VLOOKUP(H$4,'4. Billing Determinants'!$B$19:$N$41,8,0)/'4. Billing Determinants'!$I$41*$D6, VLOOKUP(H$4,'4. Billing Determinants'!$B$19:$N$41,3,0)/'4. Billing Determinants'!$D$41*$D6))))),0)</f>
        <v>-220272.95923112865</v>
      </c>
      <c r="I6" s="75">
        <f>IFERROR(IF(I$4="",0,IF($E6="kWh",VLOOKUP(I$4,'4. Billing Determinants'!$B$19:$N$41,4,0)/'4. Billing Determinants'!$E$41*$D6,IF($E6="kW",VLOOKUP(I$4,'4. Billing Determinants'!$B$19:$N$41,5,0)/'4. Billing Determinants'!$F$41*$D6,IF($E6="Non-RPP kWh",VLOOKUP(I$4,'4. Billing Determinants'!$B$19:$N$41,6,0)/'4. Billing Determinants'!$G$41*$D6,IF($E6="Distribution Rev.",VLOOKUP(I$4,'4. Billing Determinants'!$B$19:$N$41,8,0)/'4. Billing Determinants'!$I$41*$D6, VLOOKUP(I$4,'4. Billing Determinants'!$B$19:$N$41,3,0)/'4. Billing Determinants'!$D$41*$D6))))),0)</f>
        <v>-591.4244178349818</v>
      </c>
      <c r="J6" s="75">
        <f>IFERROR(IF(J$4="",0,IF($E6="kWh",VLOOKUP(J$4,'4. Billing Determinants'!$B$19:$N$41,4,0)/'4. Billing Determinants'!$E$41*$D6,IF($E6="kW",VLOOKUP(J$4,'4. Billing Determinants'!$B$19:$N$41,5,0)/'4. Billing Determinants'!$F$41*$D6,IF($E6="Non-RPP kWh",VLOOKUP(J$4,'4. Billing Determinants'!$B$19:$N$41,6,0)/'4. Billing Determinants'!$G$41*$D6,IF($E6="Distribution Rev.",VLOOKUP(J$4,'4. Billing Determinants'!$B$19:$N$41,8,0)/'4. Billing Determinants'!$I$41*$D6, VLOOKUP(J$4,'4. Billing Determinants'!$B$19:$N$41,3,0)/'4. Billing Determinants'!$D$41*$D6))))),0)</f>
        <v>-4340.1674545795368</v>
      </c>
      <c r="K6" s="75">
        <f>IFERROR(IF(K$4="",0,IF($E6="kWh",VLOOKUP(K$4,'4. Billing Determinants'!$B$19:$N$41,4,0)/'4. Billing Determinants'!$E$41*$D6,IF($E6="kW",VLOOKUP(K$4,'4. Billing Determinants'!$B$19:$N$41,5,0)/'4. Billing Determinants'!$F$41*$D6,IF($E6="Non-RPP kWh",VLOOKUP(K$4,'4. Billing Determinants'!$B$19:$N$41,6,0)/'4. Billing Determinants'!$G$41*$D6,IF($E6="Distribution Rev.",VLOOKUP(K$4,'4. Billing Determinants'!$B$19:$N$41,8,0)/'4. Billing Determinants'!$I$41*$D6, VLOOKUP(K$4,'4. Billing Determinants'!$B$19:$N$41,3,0)/'4. Billing Determinants'!$D$41*$D6))))),0)</f>
        <v>-645.8092254257208</v>
      </c>
      <c r="L6" s="75">
        <f>IFERROR(IF(L$4="",0,IF($E6="kWh",VLOOKUP(L$4,'4. Billing Determinants'!$B$19:$N$41,4,0)/'4. Billing Determinants'!$E$41*$D6,IF($E6="kW",VLOOKUP(L$4,'4. Billing Determinants'!$B$19:$N$41,5,0)/'4. Billing Determinants'!$F$41*$D6,IF($E6="Non-RPP kWh",VLOOKUP(L$4,'4. Billing Determinants'!$B$19:$N$41,6,0)/'4. Billing Determinants'!$G$41*$D6,IF($E6="Distribution Rev.",VLOOKUP(L$4,'4. Billing Determinants'!$B$19:$N$41,8,0)/'4. Billing Determinants'!$I$41*$D6, VLOOKUP(L$4,'4. Billing Determinants'!$B$19:$N$41,3,0)/'4. Billing Determinants'!$D$41*$D6))))),0)</f>
        <v>0</v>
      </c>
      <c r="M6" s="75">
        <f>IFERROR(IF(M$4="",0,IF($E6="kWh",VLOOKUP(M$4,'4. Billing Determinants'!$B$19:$N$41,4,0)/'4. Billing Determinants'!$E$41*$D6,IF($E6="kW",VLOOKUP(M$4,'4. Billing Determinants'!$B$19:$N$41,5,0)/'4. Billing Determinants'!$F$41*$D6,IF($E6="Non-RPP kWh",VLOOKUP(M$4,'4. Billing Determinants'!$B$19:$N$41,6,0)/'4. Billing Determinants'!$G$41*$D6,IF($E6="Distribution Rev.",VLOOKUP(M$4,'4. Billing Determinants'!$B$19:$N$41,8,0)/'4. Billing Determinants'!$I$41*$D6, VLOOKUP(M$4,'4. Billing Determinants'!$B$19:$N$41,3,0)/'4. Billing Determinants'!$D$41*$D6))))),0)</f>
        <v>0</v>
      </c>
      <c r="N6" s="75">
        <f>IFERROR(IF(N$4="",0,IF($E6="kWh",VLOOKUP(N$4,'4. Billing Determinants'!$B$19:$N$41,4,0)/'4. Billing Determinants'!$E$41*$D6,IF($E6="kW",VLOOKUP(N$4,'4. Billing Determinants'!$B$19:$N$41,5,0)/'4. Billing Determinants'!$F$41*$D6,IF($E6="Non-RPP kWh",VLOOKUP(N$4,'4. Billing Determinants'!$B$19:$N$41,6,0)/'4. Billing Determinants'!$G$41*$D6,IF($E6="Distribution Rev.",VLOOKUP(N$4,'4. Billing Determinants'!$B$19:$N$41,8,0)/'4. Billing Determinants'!$I$41*$D6, VLOOKUP(N$4,'4. Billing Determinants'!$B$19:$N$41,3,0)/'4. Billing Determinants'!$D$41*$D6))))),0)</f>
        <v>0</v>
      </c>
      <c r="O6" s="75">
        <f>IFERROR(IF(O$4="",0,IF($E6="kWh",VLOOKUP(O$4,'4. Billing Determinants'!$B$19:$N$41,4,0)/'4. Billing Determinants'!$E$41*$D6,IF($E6="kW",VLOOKUP(O$4,'4. Billing Determinants'!$B$19:$N$41,5,0)/'4. Billing Determinants'!$F$41*$D6,IF($E6="Non-RPP kWh",VLOOKUP(O$4,'4. Billing Determinants'!$B$19:$N$41,6,0)/'4. Billing Determinants'!$G$41*$D6,IF($E6="Distribution Rev.",VLOOKUP(O$4,'4. Billing Determinants'!$B$19:$N$41,8,0)/'4. Billing Determinants'!$I$41*$D6, VLOOKUP(O$4,'4. Billing Determinants'!$B$19:$N$41,3,0)/'4. Billing Determinants'!$D$41*$D6))))),0)</f>
        <v>0</v>
      </c>
      <c r="P6" s="75">
        <f>IFERROR(IF(P$4="",0,IF($E6="kWh",VLOOKUP(P$4,'4. Billing Determinants'!$B$19:$N$41,4,0)/'4. Billing Determinants'!$E$41*$D6,IF($E6="kW",VLOOKUP(P$4,'4. Billing Determinants'!$B$19:$N$41,5,0)/'4. Billing Determinants'!$F$41*$D6,IF($E6="Non-RPP kWh",VLOOKUP(P$4,'4. Billing Determinants'!$B$19:$N$41,6,0)/'4. Billing Determinants'!$G$41*$D6,IF($E6="Distribution Rev.",VLOOKUP(P$4,'4. Billing Determinants'!$B$19:$N$41,8,0)/'4. Billing Determinants'!$I$41*$D6, VLOOKUP(P$4,'4. Billing Determinants'!$B$19:$N$41,3,0)/'4. Billing Determinants'!$D$41*$D6))))),0)</f>
        <v>0</v>
      </c>
      <c r="Q6" s="75">
        <f>IFERROR(IF(Q$4="",0,IF($E6="kWh",VLOOKUP(Q$4,'4. Billing Determinants'!$B$19:$N$41,4,0)/'4. Billing Determinants'!$E$41*$D6,IF($E6="kW",VLOOKUP(Q$4,'4. Billing Determinants'!$B$19:$N$41,5,0)/'4. Billing Determinants'!$F$41*$D6,IF($E6="Non-RPP kWh",VLOOKUP(Q$4,'4. Billing Determinants'!$B$19:$N$41,6,0)/'4. Billing Determinants'!$G$41*$D6,IF($E6="Distribution Rev.",VLOOKUP(Q$4,'4. Billing Determinants'!$B$19:$N$41,8,0)/'4. Billing Determinants'!$I$41*$D6, VLOOKUP(Q$4,'4. Billing Determinants'!$B$19:$N$41,3,0)/'4. Billing Determinants'!$D$41*$D6))))),0)</f>
        <v>0</v>
      </c>
      <c r="R6" s="75">
        <f>IFERROR(IF(R$4="",0,IF($E6="kWh",VLOOKUP(R$4,'4. Billing Determinants'!$B$19:$N$41,4,0)/'4. Billing Determinants'!$E$41*$D6,IF($E6="kW",VLOOKUP(R$4,'4. Billing Determinants'!$B$19:$N$41,5,0)/'4. Billing Determinants'!$F$41*$D6,IF($E6="Non-RPP kWh",VLOOKUP(R$4,'4. Billing Determinants'!$B$19:$N$41,6,0)/'4. Billing Determinants'!$G$41*$D6,IF($E6="Distribution Rev.",VLOOKUP(R$4,'4. Billing Determinants'!$B$19:$N$41,8,0)/'4. Billing Determinants'!$I$41*$D6, VLOOKUP(R$4,'4. Billing Determinants'!$B$19:$N$41,3,0)/'4. Billing Determinants'!$D$41*$D6))))),0)</f>
        <v>0</v>
      </c>
      <c r="S6" s="75">
        <f>IFERROR(IF(S$4="",0,IF($E6="kWh",VLOOKUP(S$4,'4. Billing Determinants'!$B$19:$N$41,4,0)/'4. Billing Determinants'!$E$41*$D6,IF($E6="kW",VLOOKUP(S$4,'4. Billing Determinants'!$B$19:$N$41,5,0)/'4. Billing Determinants'!$F$41*$D6,IF($E6="Non-RPP kWh",VLOOKUP(S$4,'4. Billing Determinants'!$B$19:$N$41,6,0)/'4. Billing Determinants'!$G$41*$D6,IF($E6="Distribution Rev.",VLOOKUP(S$4,'4. Billing Determinants'!$B$19:$N$41,8,0)/'4. Billing Determinants'!$I$41*$D6, VLOOKUP(S$4,'4. Billing Determinants'!$B$19:$N$41,3,0)/'4. Billing Determinants'!$D$41*$D6))))),0)</f>
        <v>0</v>
      </c>
      <c r="T6" s="75">
        <f>IFERROR(IF(T$4="",0,IF($E6="kWh",VLOOKUP(T$4,'4. Billing Determinants'!$B$19:$N$41,4,0)/'4. Billing Determinants'!$E$41*$D6,IF($E6="kW",VLOOKUP(T$4,'4. Billing Determinants'!$B$19:$N$41,5,0)/'4. Billing Determinants'!$F$41*$D6,IF($E6="Non-RPP kWh",VLOOKUP(T$4,'4. Billing Determinants'!$B$19:$N$41,6,0)/'4. Billing Determinants'!$G$41*$D6,IF($E6="Distribution Rev.",VLOOKUP(T$4,'4. Billing Determinants'!$B$19:$N$41,8,0)/'4. Billing Determinants'!$I$41*$D6, VLOOKUP(T$4,'4. Billing Determinants'!$B$19:$N$41,3,0)/'4. Billing Determinants'!$D$41*$D6))))),0)</f>
        <v>0</v>
      </c>
      <c r="U6" s="75">
        <f>IFERROR(IF(U$4="",0,IF($E6="kWh",VLOOKUP(U$4,'4. Billing Determinants'!$B$19:$N$41,4,0)/'4. Billing Determinants'!$E$41*$D6,IF($E6="kW",VLOOKUP(U$4,'4. Billing Determinants'!$B$19:$N$41,5,0)/'4. Billing Determinants'!$F$41*$D6,IF($E6="Non-RPP kWh",VLOOKUP(U$4,'4. Billing Determinants'!$B$19:$N$41,6,0)/'4. Billing Determinants'!$G$41*$D6,IF($E6="Distribution Rev.",VLOOKUP(U$4,'4. Billing Determinants'!$B$19:$N$41,8,0)/'4. Billing Determinants'!$I$41*$D6, VLOOKUP(U$4,'4. Billing Determinants'!$B$19:$N$41,3,0)/'4. Billing Determinants'!$D$41*$D6))))),0)</f>
        <v>0</v>
      </c>
      <c r="V6" s="75">
        <f>IFERROR(IF(V$4="",0,IF($E6="kWh",VLOOKUP(V$4,'4. Billing Determinants'!$B$19:$N$41,4,0)/'4. Billing Determinants'!$E$41*$D6,IF($E6="kW",VLOOKUP(V$4,'4. Billing Determinants'!$B$19:$N$41,5,0)/'4. Billing Determinants'!$F$41*$D6,IF($E6="Non-RPP kWh",VLOOKUP(V$4,'4. Billing Determinants'!$B$19:$N$41,6,0)/'4. Billing Determinants'!$G$41*$D6,IF($E6="Distribution Rev.",VLOOKUP(V$4,'4. Billing Determinants'!$B$19:$N$41,8,0)/'4. Billing Determinants'!$I$41*$D6, VLOOKUP(V$4,'4. Billing Determinants'!$B$19:$N$41,3,0)/'4. Billing Determinants'!$D$41*$D6))))),0)</f>
        <v>0</v>
      </c>
      <c r="W6" s="75">
        <f>IFERROR(IF(W$4="",0,IF($E6="kWh",VLOOKUP(W$4,'4. Billing Determinants'!$B$19:$N$41,4,0)/'4. Billing Determinants'!$E$41*$D6,IF($E6="kW",VLOOKUP(W$4,'4. Billing Determinants'!$B$19:$N$41,5,0)/'4. Billing Determinants'!$F$41*$D6,IF($E6="Non-RPP kWh",VLOOKUP(W$4,'4. Billing Determinants'!$B$19:$N$41,6,0)/'4. Billing Determinants'!$G$41*$D6,IF($E6="Distribution Rev.",VLOOKUP(W$4,'4. Billing Determinants'!$B$19:$N$41,8,0)/'4. Billing Determinants'!$I$41*$D6, VLOOKUP(W$4,'4. Billing Determinants'!$B$19:$N$41,3,0)/'4. Billing Determinants'!$D$41*$D6))))),0)</f>
        <v>0</v>
      </c>
      <c r="X6" s="75">
        <f>IFERROR(IF(X$4="",0,IF($E6="kWh",VLOOKUP(X$4,'4. Billing Determinants'!$B$19:$N$41,4,0)/'4. Billing Determinants'!$E$41*$D6,IF($E6="kW",VLOOKUP(X$4,'4. Billing Determinants'!$B$19:$N$41,5,0)/'4. Billing Determinants'!$F$41*$D6,IF($E6="Non-RPP kWh",VLOOKUP(X$4,'4. Billing Determinants'!$B$19:$N$41,6,0)/'4. Billing Determinants'!$G$41*$D6,IF($E6="Distribution Rev.",VLOOKUP(X$4,'4. Billing Determinants'!$B$19:$N$41,8,0)/'4. Billing Determinants'!$I$41*$D6, VLOOKUP(X$4,'4. Billing Determinants'!$B$19:$N$41,3,0)/'4. Billing Determinants'!$D$41*$D6))))),0)</f>
        <v>0</v>
      </c>
      <c r="Y6" s="75">
        <f>IFERROR(IF(Y$4="",0,IF($E6="kWh",VLOOKUP(Y$4,'4. Billing Determinants'!$B$19:$N$41,4,0)/'4. Billing Determinants'!$E$41*$D6,IF($E6="kW",VLOOKUP(Y$4,'4. Billing Determinants'!$B$19:$N$41,5,0)/'4. Billing Determinants'!$F$41*$D6,IF($E6="Non-RPP kWh",VLOOKUP(Y$4,'4. Billing Determinants'!$B$19:$N$41,6,0)/'4. Billing Determinants'!$G$41*$D6,IF($E6="Distribution Rev.",VLOOKUP(Y$4,'4. Billing Determinants'!$B$19:$N$41,8,0)/'4. Billing Determinants'!$I$41*$D6, VLOOKUP(Y$4,'4. Billing Determinants'!$B$19:$N$41,3,0)/'4. Billing Determinants'!$D$41*$D6))))),0)</f>
        <v>0</v>
      </c>
    </row>
    <row r="7" spans="2:25" x14ac:dyDescent="0.2">
      <c r="B7" s="76" t="s">
        <v>2</v>
      </c>
      <c r="C7" s="74">
        <v>1584</v>
      </c>
      <c r="D7" s="75">
        <f>'2. 2013 Continuity Schedule'!CP26</f>
        <v>-113557.84000000001</v>
      </c>
      <c r="E7" s="208" t="s">
        <v>306</v>
      </c>
      <c r="F7" s="75">
        <f>IFERROR(IF(F$4="",0,IF($E7="kWh",VLOOKUP(F$4,'4. Billing Determinants'!$B$19:$N$41,4,0)/'4. Billing Determinants'!$E$41*$D7,IF($E7="kW",VLOOKUP(F$4,'4. Billing Determinants'!$B$19:$N$41,5,0)/'4. Billing Determinants'!$F$41*$D7,IF($E7="Non-RPP kWh",VLOOKUP(F$4,'4. Billing Determinants'!$B$19:$N$41,6,0)/'4. Billing Determinants'!$G$41*$D7,IF($E7="Distribution Rev.",VLOOKUP(F$4,'4. Billing Determinants'!$B$19:$N$41,8,0)/'4. Billing Determinants'!$I$41*$D7, VLOOKUP(F$4,'4. Billing Determinants'!$B$19:$N$41,3,0)/'4. Billing Determinants'!$D$41*$D7))))),0)</f>
        <v>-55620.262433280433</v>
      </c>
      <c r="G7" s="75">
        <f>IFERROR(IF(G$4="",0,IF($E7="kWh",VLOOKUP(G$4,'4. Billing Determinants'!$B$19:$N$41,4,0)/'4. Billing Determinants'!$E$41*$D7,IF($E7="kW",VLOOKUP(G$4,'4. Billing Determinants'!$B$19:$N$41,5,0)/'4. Billing Determinants'!$F$41*$D7,IF($E7="Non-RPP kWh",VLOOKUP(G$4,'4. Billing Determinants'!$B$19:$N$41,6,0)/'4. Billing Determinants'!$G$41*$D7,IF($E7="Distribution Rev.",VLOOKUP(G$4,'4. Billing Determinants'!$B$19:$N$41,8,0)/'4. Billing Determinants'!$I$41*$D7, VLOOKUP(G$4,'4. Billing Determinants'!$B$19:$N$41,3,0)/'4. Billing Determinants'!$D$41*$D7))))),0)</f>
        <v>-17709.396974446572</v>
      </c>
      <c r="H7" s="75">
        <f>IFERROR(IF(H$4="",0,IF($E7="kWh",VLOOKUP(H$4,'4. Billing Determinants'!$B$19:$N$41,4,0)/'4. Billing Determinants'!$E$41*$D7,IF($E7="kW",VLOOKUP(H$4,'4. Billing Determinants'!$B$19:$N$41,5,0)/'4. Billing Determinants'!$F$41*$D7,IF($E7="Non-RPP kWh",VLOOKUP(H$4,'4. Billing Determinants'!$B$19:$N$41,6,0)/'4. Billing Determinants'!$G$41*$D7,IF($E7="Distribution Rev.",VLOOKUP(H$4,'4. Billing Determinants'!$B$19:$N$41,8,0)/'4. Billing Determinants'!$I$41*$D7, VLOOKUP(H$4,'4. Billing Determinants'!$B$19:$N$41,3,0)/'4. Billing Determinants'!$D$41*$D7))))),0)</f>
        <v>-39234.740961392417</v>
      </c>
      <c r="I7" s="75">
        <f>IFERROR(IF(I$4="",0,IF($E7="kWh",VLOOKUP(I$4,'4. Billing Determinants'!$B$19:$N$41,4,0)/'4. Billing Determinants'!$E$41*$D7,IF($E7="kW",VLOOKUP(I$4,'4. Billing Determinants'!$B$19:$N$41,5,0)/'4. Billing Determinants'!$F$41*$D7,IF($E7="Non-RPP kWh",VLOOKUP(I$4,'4. Billing Determinants'!$B$19:$N$41,6,0)/'4. Billing Determinants'!$G$41*$D7,IF($E7="Distribution Rev.",VLOOKUP(I$4,'4. Billing Determinants'!$B$19:$N$41,8,0)/'4. Billing Determinants'!$I$41*$D7, VLOOKUP(I$4,'4. Billing Determinants'!$B$19:$N$41,3,0)/'4. Billing Determinants'!$D$41*$D7))))),0)</f>
        <v>-105.34376944402813</v>
      </c>
      <c r="J7" s="75">
        <f>IFERROR(IF(J$4="",0,IF($E7="kWh",VLOOKUP(J$4,'4. Billing Determinants'!$B$19:$N$41,4,0)/'4. Billing Determinants'!$E$41*$D7,IF($E7="kW",VLOOKUP(J$4,'4. Billing Determinants'!$B$19:$N$41,5,0)/'4. Billing Determinants'!$F$41*$D7,IF($E7="Non-RPP kWh",VLOOKUP(J$4,'4. Billing Determinants'!$B$19:$N$41,6,0)/'4. Billing Determinants'!$G$41*$D7,IF($E7="Distribution Rev.",VLOOKUP(J$4,'4. Billing Determinants'!$B$19:$N$41,8,0)/'4. Billing Determinants'!$I$41*$D7, VLOOKUP(J$4,'4. Billing Determinants'!$B$19:$N$41,3,0)/'4. Billing Determinants'!$D$41*$D7))))),0)</f>
        <v>-773.06513883447906</v>
      </c>
      <c r="K7" s="75">
        <f>IFERROR(IF(K$4="",0,IF($E7="kWh",VLOOKUP(K$4,'4. Billing Determinants'!$B$19:$N$41,4,0)/'4. Billing Determinants'!$E$41*$D7,IF($E7="kW",VLOOKUP(K$4,'4. Billing Determinants'!$B$19:$N$41,5,0)/'4. Billing Determinants'!$F$41*$D7,IF($E7="Non-RPP kWh",VLOOKUP(K$4,'4. Billing Determinants'!$B$19:$N$41,6,0)/'4. Billing Determinants'!$G$41*$D7,IF($E7="Distribution Rev.",VLOOKUP(K$4,'4. Billing Determinants'!$B$19:$N$41,8,0)/'4. Billing Determinants'!$I$41*$D7, VLOOKUP(K$4,'4. Billing Determinants'!$B$19:$N$41,3,0)/'4. Billing Determinants'!$D$41*$D7))))),0)</f>
        <v>-115.03072260208181</v>
      </c>
      <c r="L7" s="75">
        <f>IFERROR(IF(L$4="",0,IF($E7="kWh",VLOOKUP(L$4,'4. Billing Determinants'!$B$19:$N$41,4,0)/'4. Billing Determinants'!$E$41*$D7,IF($E7="kW",VLOOKUP(L$4,'4. Billing Determinants'!$B$19:$N$41,5,0)/'4. Billing Determinants'!$F$41*$D7,IF($E7="Non-RPP kWh",VLOOKUP(L$4,'4. Billing Determinants'!$B$19:$N$41,6,0)/'4. Billing Determinants'!$G$41*$D7,IF($E7="Distribution Rev.",VLOOKUP(L$4,'4. Billing Determinants'!$B$19:$N$41,8,0)/'4. Billing Determinants'!$I$41*$D7, VLOOKUP(L$4,'4. Billing Determinants'!$B$19:$N$41,3,0)/'4. Billing Determinants'!$D$41*$D7))))),0)</f>
        <v>0</v>
      </c>
      <c r="M7" s="75">
        <f>IFERROR(IF(M$4="",0,IF($E7="kWh",VLOOKUP(M$4,'4. Billing Determinants'!$B$19:$N$41,4,0)/'4. Billing Determinants'!$E$41*$D7,IF($E7="kW",VLOOKUP(M$4,'4. Billing Determinants'!$B$19:$N$41,5,0)/'4. Billing Determinants'!$F$41*$D7,IF($E7="Non-RPP kWh",VLOOKUP(M$4,'4. Billing Determinants'!$B$19:$N$41,6,0)/'4. Billing Determinants'!$G$41*$D7,IF($E7="Distribution Rev.",VLOOKUP(M$4,'4. Billing Determinants'!$B$19:$N$41,8,0)/'4. Billing Determinants'!$I$41*$D7, VLOOKUP(M$4,'4. Billing Determinants'!$B$19:$N$41,3,0)/'4. Billing Determinants'!$D$41*$D7))))),0)</f>
        <v>0</v>
      </c>
      <c r="N7" s="75">
        <f>IFERROR(IF(N$4="",0,IF($E7="kWh",VLOOKUP(N$4,'4. Billing Determinants'!$B$19:$N$41,4,0)/'4. Billing Determinants'!$E$41*$D7,IF($E7="kW",VLOOKUP(N$4,'4. Billing Determinants'!$B$19:$N$41,5,0)/'4. Billing Determinants'!$F$41*$D7,IF($E7="Non-RPP kWh",VLOOKUP(N$4,'4. Billing Determinants'!$B$19:$N$41,6,0)/'4. Billing Determinants'!$G$41*$D7,IF($E7="Distribution Rev.",VLOOKUP(N$4,'4. Billing Determinants'!$B$19:$N$41,8,0)/'4. Billing Determinants'!$I$41*$D7, VLOOKUP(N$4,'4. Billing Determinants'!$B$19:$N$41,3,0)/'4. Billing Determinants'!$D$41*$D7))))),0)</f>
        <v>0</v>
      </c>
      <c r="O7" s="75">
        <f>IFERROR(IF(O$4="",0,IF($E7="kWh",VLOOKUP(O$4,'4. Billing Determinants'!$B$19:$N$41,4,0)/'4. Billing Determinants'!$E$41*$D7,IF($E7="kW",VLOOKUP(O$4,'4. Billing Determinants'!$B$19:$N$41,5,0)/'4. Billing Determinants'!$F$41*$D7,IF($E7="Non-RPP kWh",VLOOKUP(O$4,'4. Billing Determinants'!$B$19:$N$41,6,0)/'4. Billing Determinants'!$G$41*$D7,IF($E7="Distribution Rev.",VLOOKUP(O$4,'4. Billing Determinants'!$B$19:$N$41,8,0)/'4. Billing Determinants'!$I$41*$D7, VLOOKUP(O$4,'4. Billing Determinants'!$B$19:$N$41,3,0)/'4. Billing Determinants'!$D$41*$D7))))),0)</f>
        <v>0</v>
      </c>
      <c r="P7" s="75">
        <f>IFERROR(IF(P$4="",0,IF($E7="kWh",VLOOKUP(P$4,'4. Billing Determinants'!$B$19:$N$41,4,0)/'4. Billing Determinants'!$E$41*$D7,IF($E7="kW",VLOOKUP(P$4,'4. Billing Determinants'!$B$19:$N$41,5,0)/'4. Billing Determinants'!$F$41*$D7,IF($E7="Non-RPP kWh",VLOOKUP(P$4,'4. Billing Determinants'!$B$19:$N$41,6,0)/'4. Billing Determinants'!$G$41*$D7,IF($E7="Distribution Rev.",VLOOKUP(P$4,'4. Billing Determinants'!$B$19:$N$41,8,0)/'4. Billing Determinants'!$I$41*$D7, VLOOKUP(P$4,'4. Billing Determinants'!$B$19:$N$41,3,0)/'4. Billing Determinants'!$D$41*$D7))))),0)</f>
        <v>0</v>
      </c>
      <c r="Q7" s="75">
        <f>IFERROR(IF(Q$4="",0,IF($E7="kWh",VLOOKUP(Q$4,'4. Billing Determinants'!$B$19:$N$41,4,0)/'4. Billing Determinants'!$E$41*$D7,IF($E7="kW",VLOOKUP(Q$4,'4. Billing Determinants'!$B$19:$N$41,5,0)/'4. Billing Determinants'!$F$41*$D7,IF($E7="Non-RPP kWh",VLOOKUP(Q$4,'4. Billing Determinants'!$B$19:$N$41,6,0)/'4. Billing Determinants'!$G$41*$D7,IF($E7="Distribution Rev.",VLOOKUP(Q$4,'4. Billing Determinants'!$B$19:$N$41,8,0)/'4. Billing Determinants'!$I$41*$D7, VLOOKUP(Q$4,'4. Billing Determinants'!$B$19:$N$41,3,0)/'4. Billing Determinants'!$D$41*$D7))))),0)</f>
        <v>0</v>
      </c>
      <c r="R7" s="75">
        <f>IFERROR(IF(R$4="",0,IF($E7="kWh",VLOOKUP(R$4,'4. Billing Determinants'!$B$19:$N$41,4,0)/'4. Billing Determinants'!$E$41*$D7,IF($E7="kW",VLOOKUP(R$4,'4. Billing Determinants'!$B$19:$N$41,5,0)/'4. Billing Determinants'!$F$41*$D7,IF($E7="Non-RPP kWh",VLOOKUP(R$4,'4. Billing Determinants'!$B$19:$N$41,6,0)/'4. Billing Determinants'!$G$41*$D7,IF($E7="Distribution Rev.",VLOOKUP(R$4,'4. Billing Determinants'!$B$19:$N$41,8,0)/'4. Billing Determinants'!$I$41*$D7, VLOOKUP(R$4,'4. Billing Determinants'!$B$19:$N$41,3,0)/'4. Billing Determinants'!$D$41*$D7))))),0)</f>
        <v>0</v>
      </c>
      <c r="S7" s="75">
        <f>IFERROR(IF(S$4="",0,IF($E7="kWh",VLOOKUP(S$4,'4. Billing Determinants'!$B$19:$N$41,4,0)/'4. Billing Determinants'!$E$41*$D7,IF($E7="kW",VLOOKUP(S$4,'4. Billing Determinants'!$B$19:$N$41,5,0)/'4. Billing Determinants'!$F$41*$D7,IF($E7="Non-RPP kWh",VLOOKUP(S$4,'4. Billing Determinants'!$B$19:$N$41,6,0)/'4. Billing Determinants'!$G$41*$D7,IF($E7="Distribution Rev.",VLOOKUP(S$4,'4. Billing Determinants'!$B$19:$N$41,8,0)/'4. Billing Determinants'!$I$41*$D7, VLOOKUP(S$4,'4. Billing Determinants'!$B$19:$N$41,3,0)/'4. Billing Determinants'!$D$41*$D7))))),0)</f>
        <v>0</v>
      </c>
      <c r="T7" s="75">
        <f>IFERROR(IF(T$4="",0,IF($E7="kWh",VLOOKUP(T$4,'4. Billing Determinants'!$B$19:$N$41,4,0)/'4. Billing Determinants'!$E$41*$D7,IF($E7="kW",VLOOKUP(T$4,'4. Billing Determinants'!$B$19:$N$41,5,0)/'4. Billing Determinants'!$F$41*$D7,IF($E7="Non-RPP kWh",VLOOKUP(T$4,'4. Billing Determinants'!$B$19:$N$41,6,0)/'4. Billing Determinants'!$G$41*$D7,IF($E7="Distribution Rev.",VLOOKUP(T$4,'4. Billing Determinants'!$B$19:$N$41,8,0)/'4. Billing Determinants'!$I$41*$D7, VLOOKUP(T$4,'4. Billing Determinants'!$B$19:$N$41,3,0)/'4. Billing Determinants'!$D$41*$D7))))),0)</f>
        <v>0</v>
      </c>
      <c r="U7" s="75">
        <f>IFERROR(IF(U$4="",0,IF($E7="kWh",VLOOKUP(U$4,'4. Billing Determinants'!$B$19:$N$41,4,0)/'4. Billing Determinants'!$E$41*$D7,IF($E7="kW",VLOOKUP(U$4,'4. Billing Determinants'!$B$19:$N$41,5,0)/'4. Billing Determinants'!$F$41*$D7,IF($E7="Non-RPP kWh",VLOOKUP(U$4,'4. Billing Determinants'!$B$19:$N$41,6,0)/'4. Billing Determinants'!$G$41*$D7,IF($E7="Distribution Rev.",VLOOKUP(U$4,'4. Billing Determinants'!$B$19:$N$41,8,0)/'4. Billing Determinants'!$I$41*$D7, VLOOKUP(U$4,'4. Billing Determinants'!$B$19:$N$41,3,0)/'4. Billing Determinants'!$D$41*$D7))))),0)</f>
        <v>0</v>
      </c>
      <c r="V7" s="75">
        <f>IFERROR(IF(V$4="",0,IF($E7="kWh",VLOOKUP(V$4,'4. Billing Determinants'!$B$19:$N$41,4,0)/'4. Billing Determinants'!$E$41*$D7,IF($E7="kW",VLOOKUP(V$4,'4. Billing Determinants'!$B$19:$N$41,5,0)/'4. Billing Determinants'!$F$41*$D7,IF($E7="Non-RPP kWh",VLOOKUP(V$4,'4. Billing Determinants'!$B$19:$N$41,6,0)/'4. Billing Determinants'!$G$41*$D7,IF($E7="Distribution Rev.",VLOOKUP(V$4,'4. Billing Determinants'!$B$19:$N$41,8,0)/'4. Billing Determinants'!$I$41*$D7, VLOOKUP(V$4,'4. Billing Determinants'!$B$19:$N$41,3,0)/'4. Billing Determinants'!$D$41*$D7))))),0)</f>
        <v>0</v>
      </c>
      <c r="W7" s="75">
        <f>IFERROR(IF(W$4="",0,IF($E7="kWh",VLOOKUP(W$4,'4. Billing Determinants'!$B$19:$N$41,4,0)/'4. Billing Determinants'!$E$41*$D7,IF($E7="kW",VLOOKUP(W$4,'4. Billing Determinants'!$B$19:$N$41,5,0)/'4. Billing Determinants'!$F$41*$D7,IF($E7="Non-RPP kWh",VLOOKUP(W$4,'4. Billing Determinants'!$B$19:$N$41,6,0)/'4. Billing Determinants'!$G$41*$D7,IF($E7="Distribution Rev.",VLOOKUP(W$4,'4. Billing Determinants'!$B$19:$N$41,8,0)/'4. Billing Determinants'!$I$41*$D7, VLOOKUP(W$4,'4. Billing Determinants'!$B$19:$N$41,3,0)/'4. Billing Determinants'!$D$41*$D7))))),0)</f>
        <v>0</v>
      </c>
      <c r="X7" s="75">
        <f>IFERROR(IF(X$4="",0,IF($E7="kWh",VLOOKUP(X$4,'4. Billing Determinants'!$B$19:$N$41,4,0)/'4. Billing Determinants'!$E$41*$D7,IF($E7="kW",VLOOKUP(X$4,'4. Billing Determinants'!$B$19:$N$41,5,0)/'4. Billing Determinants'!$F$41*$D7,IF($E7="Non-RPP kWh",VLOOKUP(X$4,'4. Billing Determinants'!$B$19:$N$41,6,0)/'4. Billing Determinants'!$G$41*$D7,IF($E7="Distribution Rev.",VLOOKUP(X$4,'4. Billing Determinants'!$B$19:$N$41,8,0)/'4. Billing Determinants'!$I$41*$D7, VLOOKUP(X$4,'4. Billing Determinants'!$B$19:$N$41,3,0)/'4. Billing Determinants'!$D$41*$D7))))),0)</f>
        <v>0</v>
      </c>
      <c r="Y7" s="75">
        <f>IFERROR(IF(Y$4="",0,IF($E7="kWh",VLOOKUP(Y$4,'4. Billing Determinants'!$B$19:$N$41,4,0)/'4. Billing Determinants'!$E$41*$D7,IF($E7="kW",VLOOKUP(Y$4,'4. Billing Determinants'!$B$19:$N$41,5,0)/'4. Billing Determinants'!$F$41*$D7,IF($E7="Non-RPP kWh",VLOOKUP(Y$4,'4. Billing Determinants'!$B$19:$N$41,6,0)/'4. Billing Determinants'!$G$41*$D7,IF($E7="Distribution Rev.",VLOOKUP(Y$4,'4. Billing Determinants'!$B$19:$N$41,8,0)/'4. Billing Determinants'!$I$41*$D7, VLOOKUP(Y$4,'4. Billing Determinants'!$B$19:$N$41,3,0)/'4. Billing Determinants'!$D$41*$D7))))),0)</f>
        <v>0</v>
      </c>
    </row>
    <row r="8" spans="2:25" x14ac:dyDescent="0.2">
      <c r="B8" s="76" t="s">
        <v>3</v>
      </c>
      <c r="C8" s="74">
        <v>1586</v>
      </c>
      <c r="D8" s="75">
        <f>'2. 2013 Continuity Schedule'!CP27</f>
        <v>-96150.119999999966</v>
      </c>
      <c r="E8" s="208" t="s">
        <v>306</v>
      </c>
      <c r="F8" s="75">
        <f>IFERROR(IF(F$4="",0,IF($E8="kWh",VLOOKUP(F$4,'4. Billing Determinants'!$B$19:$N$41,4,0)/'4. Billing Determinants'!$E$41*$D8,IF($E8="kW",VLOOKUP(F$4,'4. Billing Determinants'!$B$19:$N$41,5,0)/'4. Billing Determinants'!$F$41*$D8,IF($E8="Non-RPP kWh",VLOOKUP(F$4,'4. Billing Determinants'!$B$19:$N$41,6,0)/'4. Billing Determinants'!$G$41*$D8,IF($E8="Distribution Rev.",VLOOKUP(F$4,'4. Billing Determinants'!$B$19:$N$41,8,0)/'4. Billing Determinants'!$I$41*$D8, VLOOKUP(F$4,'4. Billing Determinants'!$B$19:$N$41,3,0)/'4. Billing Determinants'!$D$41*$D8))))),0)</f>
        <v>-47094.017527908269</v>
      </c>
      <c r="G8" s="75">
        <f>IFERROR(IF(G$4="",0,IF($E8="kWh",VLOOKUP(G$4,'4. Billing Determinants'!$B$19:$N$41,4,0)/'4. Billing Determinants'!$E$41*$D8,IF($E8="kW",VLOOKUP(G$4,'4. Billing Determinants'!$B$19:$N$41,5,0)/'4. Billing Determinants'!$F$41*$D8,IF($E8="Non-RPP kWh",VLOOKUP(G$4,'4. Billing Determinants'!$B$19:$N$41,6,0)/'4. Billing Determinants'!$G$41*$D8,IF($E8="Distribution Rev.",VLOOKUP(G$4,'4. Billing Determinants'!$B$19:$N$41,8,0)/'4. Billing Determinants'!$I$41*$D8, VLOOKUP(G$4,'4. Billing Determinants'!$B$19:$N$41,3,0)/'4. Billing Determinants'!$D$41*$D8))))),0)</f>
        <v>-14994.655095770351</v>
      </c>
      <c r="H8" s="75">
        <f>IFERROR(IF(H$4="",0,IF($E8="kWh",VLOOKUP(H$4,'4. Billing Determinants'!$B$19:$N$41,4,0)/'4. Billing Determinants'!$E$41*$D8,IF($E8="kW",VLOOKUP(H$4,'4. Billing Determinants'!$B$19:$N$41,5,0)/'4. Billing Determinants'!$F$41*$D8,IF($E8="Non-RPP kWh",VLOOKUP(H$4,'4. Billing Determinants'!$B$19:$N$41,6,0)/'4. Billing Determinants'!$G$41*$D8,IF($E8="Distribution Rev.",VLOOKUP(H$4,'4. Billing Determinants'!$B$19:$N$41,8,0)/'4. Billing Determinants'!$I$41*$D8, VLOOKUP(H$4,'4. Billing Determinants'!$B$19:$N$41,3,0)/'4. Billing Determinants'!$D$41*$D8))))),0)</f>
        <v>-33220.295944399739</v>
      </c>
      <c r="I8" s="75">
        <f>IFERROR(IF(I$4="",0,IF($E8="kWh",VLOOKUP(I$4,'4. Billing Determinants'!$B$19:$N$41,4,0)/'4. Billing Determinants'!$E$41*$D8,IF($E8="kW",VLOOKUP(I$4,'4. Billing Determinants'!$B$19:$N$41,5,0)/'4. Billing Determinants'!$F$41*$D8,IF($E8="Non-RPP kWh",VLOOKUP(I$4,'4. Billing Determinants'!$B$19:$N$41,6,0)/'4. Billing Determinants'!$G$41*$D8,IF($E8="Distribution Rev.",VLOOKUP(I$4,'4. Billing Determinants'!$B$19:$N$41,8,0)/'4. Billing Determinants'!$I$41*$D8, VLOOKUP(I$4,'4. Billing Determinants'!$B$19:$N$41,3,0)/'4. Billing Determinants'!$D$41*$D8))))),0)</f>
        <v>-89.195216052855827</v>
      </c>
      <c r="J8" s="75">
        <f>IFERROR(IF(J$4="",0,IF($E8="kWh",VLOOKUP(J$4,'4. Billing Determinants'!$B$19:$N$41,4,0)/'4. Billing Determinants'!$E$41*$D8,IF($E8="kW",VLOOKUP(J$4,'4. Billing Determinants'!$B$19:$N$41,5,0)/'4. Billing Determinants'!$F$41*$D8,IF($E8="Non-RPP kWh",VLOOKUP(J$4,'4. Billing Determinants'!$B$19:$N$41,6,0)/'4. Billing Determinants'!$G$41*$D8,IF($E8="Distribution Rev.",VLOOKUP(J$4,'4. Billing Determinants'!$B$19:$N$41,8,0)/'4. Billing Determinants'!$I$41*$D8, VLOOKUP(J$4,'4. Billing Determinants'!$B$19:$N$41,3,0)/'4. Billing Determinants'!$D$41*$D8))))),0)</f>
        <v>-654.55899713090514</v>
      </c>
      <c r="K8" s="75">
        <f>IFERROR(IF(K$4="",0,IF($E8="kWh",VLOOKUP(K$4,'4. Billing Determinants'!$B$19:$N$41,4,0)/'4. Billing Determinants'!$E$41*$D8,IF($E8="kW",VLOOKUP(K$4,'4. Billing Determinants'!$B$19:$N$41,5,0)/'4. Billing Determinants'!$F$41*$D8,IF($E8="Non-RPP kWh",VLOOKUP(K$4,'4. Billing Determinants'!$B$19:$N$41,6,0)/'4. Billing Determinants'!$G$41*$D8,IF($E8="Distribution Rev.",VLOOKUP(K$4,'4. Billing Determinants'!$B$19:$N$41,8,0)/'4. Billing Determinants'!$I$41*$D8, VLOOKUP(K$4,'4. Billing Determinants'!$B$19:$N$41,3,0)/'4. Billing Determinants'!$D$41*$D8))))),0)</f>
        <v>-97.397218737842095</v>
      </c>
      <c r="L8" s="75">
        <f>IFERROR(IF(L$4="",0,IF($E8="kWh",VLOOKUP(L$4,'4. Billing Determinants'!$B$19:$N$41,4,0)/'4. Billing Determinants'!$E$41*$D8,IF($E8="kW",VLOOKUP(L$4,'4. Billing Determinants'!$B$19:$N$41,5,0)/'4. Billing Determinants'!$F$41*$D8,IF($E8="Non-RPP kWh",VLOOKUP(L$4,'4. Billing Determinants'!$B$19:$N$41,6,0)/'4. Billing Determinants'!$G$41*$D8,IF($E8="Distribution Rev.",VLOOKUP(L$4,'4. Billing Determinants'!$B$19:$N$41,8,0)/'4. Billing Determinants'!$I$41*$D8, VLOOKUP(L$4,'4. Billing Determinants'!$B$19:$N$41,3,0)/'4. Billing Determinants'!$D$41*$D8))))),0)</f>
        <v>0</v>
      </c>
      <c r="M8" s="75">
        <f>IFERROR(IF(M$4="",0,IF($E8="kWh",VLOOKUP(M$4,'4. Billing Determinants'!$B$19:$N$41,4,0)/'4. Billing Determinants'!$E$41*$D8,IF($E8="kW",VLOOKUP(M$4,'4. Billing Determinants'!$B$19:$N$41,5,0)/'4. Billing Determinants'!$F$41*$D8,IF($E8="Non-RPP kWh",VLOOKUP(M$4,'4. Billing Determinants'!$B$19:$N$41,6,0)/'4. Billing Determinants'!$G$41*$D8,IF($E8="Distribution Rev.",VLOOKUP(M$4,'4. Billing Determinants'!$B$19:$N$41,8,0)/'4. Billing Determinants'!$I$41*$D8, VLOOKUP(M$4,'4. Billing Determinants'!$B$19:$N$41,3,0)/'4. Billing Determinants'!$D$41*$D8))))),0)</f>
        <v>0</v>
      </c>
      <c r="N8" s="75">
        <f>IFERROR(IF(N$4="",0,IF($E8="kWh",VLOOKUP(N$4,'4. Billing Determinants'!$B$19:$N$41,4,0)/'4. Billing Determinants'!$E$41*$D8,IF($E8="kW",VLOOKUP(N$4,'4. Billing Determinants'!$B$19:$N$41,5,0)/'4. Billing Determinants'!$F$41*$D8,IF($E8="Non-RPP kWh",VLOOKUP(N$4,'4. Billing Determinants'!$B$19:$N$41,6,0)/'4. Billing Determinants'!$G$41*$D8,IF($E8="Distribution Rev.",VLOOKUP(N$4,'4. Billing Determinants'!$B$19:$N$41,8,0)/'4. Billing Determinants'!$I$41*$D8, VLOOKUP(N$4,'4. Billing Determinants'!$B$19:$N$41,3,0)/'4. Billing Determinants'!$D$41*$D8))))),0)</f>
        <v>0</v>
      </c>
      <c r="O8" s="75">
        <f>IFERROR(IF(O$4="",0,IF($E8="kWh",VLOOKUP(O$4,'4. Billing Determinants'!$B$19:$N$41,4,0)/'4. Billing Determinants'!$E$41*$D8,IF($E8="kW",VLOOKUP(O$4,'4. Billing Determinants'!$B$19:$N$41,5,0)/'4. Billing Determinants'!$F$41*$D8,IF($E8="Non-RPP kWh",VLOOKUP(O$4,'4. Billing Determinants'!$B$19:$N$41,6,0)/'4. Billing Determinants'!$G$41*$D8,IF($E8="Distribution Rev.",VLOOKUP(O$4,'4. Billing Determinants'!$B$19:$N$41,8,0)/'4. Billing Determinants'!$I$41*$D8, VLOOKUP(O$4,'4. Billing Determinants'!$B$19:$N$41,3,0)/'4. Billing Determinants'!$D$41*$D8))))),0)</f>
        <v>0</v>
      </c>
      <c r="P8" s="75">
        <f>IFERROR(IF(P$4="",0,IF($E8="kWh",VLOOKUP(P$4,'4. Billing Determinants'!$B$19:$N$41,4,0)/'4. Billing Determinants'!$E$41*$D8,IF($E8="kW",VLOOKUP(P$4,'4. Billing Determinants'!$B$19:$N$41,5,0)/'4. Billing Determinants'!$F$41*$D8,IF($E8="Non-RPP kWh",VLOOKUP(P$4,'4. Billing Determinants'!$B$19:$N$41,6,0)/'4. Billing Determinants'!$G$41*$D8,IF($E8="Distribution Rev.",VLOOKUP(P$4,'4. Billing Determinants'!$B$19:$N$41,8,0)/'4. Billing Determinants'!$I$41*$D8, VLOOKUP(P$4,'4. Billing Determinants'!$B$19:$N$41,3,0)/'4. Billing Determinants'!$D$41*$D8))))),0)</f>
        <v>0</v>
      </c>
      <c r="Q8" s="75">
        <f>IFERROR(IF(Q$4="",0,IF($E8="kWh",VLOOKUP(Q$4,'4. Billing Determinants'!$B$19:$N$41,4,0)/'4. Billing Determinants'!$E$41*$D8,IF($E8="kW",VLOOKUP(Q$4,'4. Billing Determinants'!$B$19:$N$41,5,0)/'4. Billing Determinants'!$F$41*$D8,IF($E8="Non-RPP kWh",VLOOKUP(Q$4,'4. Billing Determinants'!$B$19:$N$41,6,0)/'4. Billing Determinants'!$G$41*$D8,IF($E8="Distribution Rev.",VLOOKUP(Q$4,'4. Billing Determinants'!$B$19:$N$41,8,0)/'4. Billing Determinants'!$I$41*$D8, VLOOKUP(Q$4,'4. Billing Determinants'!$B$19:$N$41,3,0)/'4. Billing Determinants'!$D$41*$D8))))),0)</f>
        <v>0</v>
      </c>
      <c r="R8" s="75">
        <f>IFERROR(IF(R$4="",0,IF($E8="kWh",VLOOKUP(R$4,'4. Billing Determinants'!$B$19:$N$41,4,0)/'4. Billing Determinants'!$E$41*$D8,IF($E8="kW",VLOOKUP(R$4,'4. Billing Determinants'!$B$19:$N$41,5,0)/'4. Billing Determinants'!$F$41*$D8,IF($E8="Non-RPP kWh",VLOOKUP(R$4,'4. Billing Determinants'!$B$19:$N$41,6,0)/'4. Billing Determinants'!$G$41*$D8,IF($E8="Distribution Rev.",VLOOKUP(R$4,'4. Billing Determinants'!$B$19:$N$41,8,0)/'4. Billing Determinants'!$I$41*$D8, VLOOKUP(R$4,'4. Billing Determinants'!$B$19:$N$41,3,0)/'4. Billing Determinants'!$D$41*$D8))))),0)</f>
        <v>0</v>
      </c>
      <c r="S8" s="75">
        <f>IFERROR(IF(S$4="",0,IF($E8="kWh",VLOOKUP(S$4,'4. Billing Determinants'!$B$19:$N$41,4,0)/'4. Billing Determinants'!$E$41*$D8,IF($E8="kW",VLOOKUP(S$4,'4. Billing Determinants'!$B$19:$N$41,5,0)/'4. Billing Determinants'!$F$41*$D8,IF($E8="Non-RPP kWh",VLOOKUP(S$4,'4. Billing Determinants'!$B$19:$N$41,6,0)/'4. Billing Determinants'!$G$41*$D8,IF($E8="Distribution Rev.",VLOOKUP(S$4,'4. Billing Determinants'!$B$19:$N$41,8,0)/'4. Billing Determinants'!$I$41*$D8, VLOOKUP(S$4,'4. Billing Determinants'!$B$19:$N$41,3,0)/'4. Billing Determinants'!$D$41*$D8))))),0)</f>
        <v>0</v>
      </c>
      <c r="T8" s="75">
        <f>IFERROR(IF(T$4="",0,IF($E8="kWh",VLOOKUP(T$4,'4. Billing Determinants'!$B$19:$N$41,4,0)/'4. Billing Determinants'!$E$41*$D8,IF($E8="kW",VLOOKUP(T$4,'4. Billing Determinants'!$B$19:$N$41,5,0)/'4. Billing Determinants'!$F$41*$D8,IF($E8="Non-RPP kWh",VLOOKUP(T$4,'4. Billing Determinants'!$B$19:$N$41,6,0)/'4. Billing Determinants'!$G$41*$D8,IF($E8="Distribution Rev.",VLOOKUP(T$4,'4. Billing Determinants'!$B$19:$N$41,8,0)/'4. Billing Determinants'!$I$41*$D8, VLOOKUP(T$4,'4. Billing Determinants'!$B$19:$N$41,3,0)/'4. Billing Determinants'!$D$41*$D8))))),0)</f>
        <v>0</v>
      </c>
      <c r="U8" s="75">
        <f>IFERROR(IF(U$4="",0,IF($E8="kWh",VLOOKUP(U$4,'4. Billing Determinants'!$B$19:$N$41,4,0)/'4. Billing Determinants'!$E$41*$D8,IF($E8="kW",VLOOKUP(U$4,'4. Billing Determinants'!$B$19:$N$41,5,0)/'4. Billing Determinants'!$F$41*$D8,IF($E8="Non-RPP kWh",VLOOKUP(U$4,'4. Billing Determinants'!$B$19:$N$41,6,0)/'4. Billing Determinants'!$G$41*$D8,IF($E8="Distribution Rev.",VLOOKUP(U$4,'4. Billing Determinants'!$B$19:$N$41,8,0)/'4. Billing Determinants'!$I$41*$D8, VLOOKUP(U$4,'4. Billing Determinants'!$B$19:$N$41,3,0)/'4. Billing Determinants'!$D$41*$D8))))),0)</f>
        <v>0</v>
      </c>
      <c r="V8" s="75">
        <f>IFERROR(IF(V$4="",0,IF($E8="kWh",VLOOKUP(V$4,'4. Billing Determinants'!$B$19:$N$41,4,0)/'4. Billing Determinants'!$E$41*$D8,IF($E8="kW",VLOOKUP(V$4,'4. Billing Determinants'!$B$19:$N$41,5,0)/'4. Billing Determinants'!$F$41*$D8,IF($E8="Non-RPP kWh",VLOOKUP(V$4,'4. Billing Determinants'!$B$19:$N$41,6,0)/'4. Billing Determinants'!$G$41*$D8,IF($E8="Distribution Rev.",VLOOKUP(V$4,'4. Billing Determinants'!$B$19:$N$41,8,0)/'4. Billing Determinants'!$I$41*$D8, VLOOKUP(V$4,'4. Billing Determinants'!$B$19:$N$41,3,0)/'4. Billing Determinants'!$D$41*$D8))))),0)</f>
        <v>0</v>
      </c>
      <c r="W8" s="75">
        <f>IFERROR(IF(W$4="",0,IF($E8="kWh",VLOOKUP(W$4,'4. Billing Determinants'!$B$19:$N$41,4,0)/'4. Billing Determinants'!$E$41*$D8,IF($E8="kW",VLOOKUP(W$4,'4. Billing Determinants'!$B$19:$N$41,5,0)/'4. Billing Determinants'!$F$41*$D8,IF($E8="Non-RPP kWh",VLOOKUP(W$4,'4. Billing Determinants'!$B$19:$N$41,6,0)/'4. Billing Determinants'!$G$41*$D8,IF($E8="Distribution Rev.",VLOOKUP(W$4,'4. Billing Determinants'!$B$19:$N$41,8,0)/'4. Billing Determinants'!$I$41*$D8, VLOOKUP(W$4,'4. Billing Determinants'!$B$19:$N$41,3,0)/'4. Billing Determinants'!$D$41*$D8))))),0)</f>
        <v>0</v>
      </c>
      <c r="X8" s="75">
        <f>IFERROR(IF(X$4="",0,IF($E8="kWh",VLOOKUP(X$4,'4. Billing Determinants'!$B$19:$N$41,4,0)/'4. Billing Determinants'!$E$41*$D8,IF($E8="kW",VLOOKUP(X$4,'4. Billing Determinants'!$B$19:$N$41,5,0)/'4. Billing Determinants'!$F$41*$D8,IF($E8="Non-RPP kWh",VLOOKUP(X$4,'4. Billing Determinants'!$B$19:$N$41,6,0)/'4. Billing Determinants'!$G$41*$D8,IF($E8="Distribution Rev.",VLOOKUP(X$4,'4. Billing Determinants'!$B$19:$N$41,8,0)/'4. Billing Determinants'!$I$41*$D8, VLOOKUP(X$4,'4. Billing Determinants'!$B$19:$N$41,3,0)/'4. Billing Determinants'!$D$41*$D8))))),0)</f>
        <v>0</v>
      </c>
      <c r="Y8" s="75">
        <f>IFERROR(IF(Y$4="",0,IF($E8="kWh",VLOOKUP(Y$4,'4. Billing Determinants'!$B$19:$N$41,4,0)/'4. Billing Determinants'!$E$41*$D8,IF($E8="kW",VLOOKUP(Y$4,'4. Billing Determinants'!$B$19:$N$41,5,0)/'4. Billing Determinants'!$F$41*$D8,IF($E8="Non-RPP kWh",VLOOKUP(Y$4,'4. Billing Determinants'!$B$19:$N$41,6,0)/'4. Billing Determinants'!$G$41*$D8,IF($E8="Distribution Rev.",VLOOKUP(Y$4,'4. Billing Determinants'!$B$19:$N$41,8,0)/'4. Billing Determinants'!$I$41*$D8, VLOOKUP(Y$4,'4. Billing Determinants'!$B$19:$N$41,3,0)/'4. Billing Determinants'!$D$41*$D8))))),0)</f>
        <v>0</v>
      </c>
    </row>
    <row r="9" spans="2:25" x14ac:dyDescent="0.2">
      <c r="B9" s="76" t="s">
        <v>114</v>
      </c>
      <c r="C9" s="74">
        <v>1588</v>
      </c>
      <c r="D9" s="75">
        <f>'2. 2013 Continuity Schedule'!CP28</f>
        <v>-61678.78</v>
      </c>
      <c r="E9" s="208" t="s">
        <v>306</v>
      </c>
      <c r="F9" s="75">
        <f>IFERROR(IF(F$4="",0,IF($E9="kWh",VLOOKUP(F$4,'4. Billing Determinants'!$B$19:$N$41,4,0)/'4. Billing Determinants'!$E$41*$D9,IF($E9="kW",VLOOKUP(F$4,'4. Billing Determinants'!$B$19:$N$41,5,0)/'4. Billing Determinants'!$F$41*$D9,IF($E9="Non-RPP kWh",VLOOKUP(F$4,'4. Billing Determinants'!$B$19:$N$41,6,0)/'4. Billing Determinants'!$G$41*$D9,IF($E9="Distribution Rev.",VLOOKUP(F$4,'4. Billing Determinants'!$B$19:$N$41,8,0)/'4. Billing Determinants'!$I$41*$D9, VLOOKUP(F$4,'4. Billing Determinants'!$B$19:$N$41,3,0)/'4. Billing Determinants'!$D$41*$D9))))),0)</f>
        <v>-30210.066783275975</v>
      </c>
      <c r="G9" s="75">
        <f>IFERROR(IF(G$4="",0,IF($E9="kWh",VLOOKUP(G$4,'4. Billing Determinants'!$B$19:$N$41,4,0)/'4. Billing Determinants'!$E$41*$D9,IF($E9="kW",VLOOKUP(G$4,'4. Billing Determinants'!$B$19:$N$41,5,0)/'4. Billing Determinants'!$F$41*$D9,IF($E9="Non-RPP kWh",VLOOKUP(G$4,'4. Billing Determinants'!$B$19:$N$41,6,0)/'4. Billing Determinants'!$G$41*$D9,IF($E9="Distribution Rev.",VLOOKUP(G$4,'4. Billing Determinants'!$B$19:$N$41,8,0)/'4. Billing Determinants'!$I$41*$D9, VLOOKUP(G$4,'4. Billing Determinants'!$B$19:$N$41,3,0)/'4. Billing Determinants'!$D$41*$D9))))),0)</f>
        <v>-9618.83389046107</v>
      </c>
      <c r="H9" s="75">
        <f>IFERROR(IF(H$4="",0,IF($E9="kWh",VLOOKUP(H$4,'4. Billing Determinants'!$B$19:$N$41,4,0)/'4. Billing Determinants'!$E$41*$D9,IF($E9="kW",VLOOKUP(H$4,'4. Billing Determinants'!$B$19:$N$41,5,0)/'4. Billing Determinants'!$F$41*$D9,IF($E9="Non-RPP kWh",VLOOKUP(H$4,'4. Billing Determinants'!$B$19:$N$41,6,0)/'4. Billing Determinants'!$G$41*$D9,IF($E9="Distribution Rev.",VLOOKUP(H$4,'4. Billing Determinants'!$B$19:$N$41,8,0)/'4. Billing Determinants'!$I$41*$D9, VLOOKUP(H$4,'4. Billing Determinants'!$B$19:$N$41,3,0)/'4. Billing Determinants'!$D$41*$D9))))),0)</f>
        <v>-21310.293997444045</v>
      </c>
      <c r="I9" s="75">
        <f>IFERROR(IF(I$4="",0,IF($E9="kWh",VLOOKUP(I$4,'4. Billing Determinants'!$B$19:$N$41,4,0)/'4. Billing Determinants'!$E$41*$D9,IF($E9="kW",VLOOKUP(I$4,'4. Billing Determinants'!$B$19:$N$41,5,0)/'4. Billing Determinants'!$F$41*$D9,IF($E9="Non-RPP kWh",VLOOKUP(I$4,'4. Billing Determinants'!$B$19:$N$41,6,0)/'4. Billing Determinants'!$G$41*$D9,IF($E9="Distribution Rev.",VLOOKUP(I$4,'4. Billing Determinants'!$B$19:$N$41,8,0)/'4. Billing Determinants'!$I$41*$D9, VLOOKUP(I$4,'4. Billing Determinants'!$B$19:$N$41,3,0)/'4. Billing Determinants'!$D$41*$D9))))),0)</f>
        <v>-57.21731920851024</v>
      </c>
      <c r="J9" s="75">
        <f>IFERROR(IF(J$4="",0,IF($E9="kWh",VLOOKUP(J$4,'4. Billing Determinants'!$B$19:$N$41,4,0)/'4. Billing Determinants'!$E$41*$D9,IF($E9="kW",VLOOKUP(J$4,'4. Billing Determinants'!$B$19:$N$41,5,0)/'4. Billing Determinants'!$F$41*$D9,IF($E9="Non-RPP kWh",VLOOKUP(J$4,'4. Billing Determinants'!$B$19:$N$41,6,0)/'4. Billing Determinants'!$G$41*$D9,IF($E9="Distribution Rev.",VLOOKUP(J$4,'4. Billing Determinants'!$B$19:$N$41,8,0)/'4. Billing Determinants'!$I$41*$D9, VLOOKUP(J$4,'4. Billing Determinants'!$B$19:$N$41,3,0)/'4. Billing Determinants'!$D$41*$D9))))),0)</f>
        <v>-419.88923551065506</v>
      </c>
      <c r="K9" s="75">
        <f>IFERROR(IF(K$4="",0,IF($E9="kWh",VLOOKUP(K$4,'4. Billing Determinants'!$B$19:$N$41,4,0)/'4. Billing Determinants'!$E$41*$D9,IF($E9="kW",VLOOKUP(K$4,'4. Billing Determinants'!$B$19:$N$41,5,0)/'4. Billing Determinants'!$F$41*$D9,IF($E9="Non-RPP kWh",VLOOKUP(K$4,'4. Billing Determinants'!$B$19:$N$41,6,0)/'4. Billing Determinants'!$G$41*$D9,IF($E9="Distribution Rev.",VLOOKUP(K$4,'4. Billing Determinants'!$B$19:$N$41,8,0)/'4. Billing Determinants'!$I$41*$D9, VLOOKUP(K$4,'4. Billing Determinants'!$B$19:$N$41,3,0)/'4. Billing Determinants'!$D$41*$D9))))),0)</f>
        <v>-62.478774099743632</v>
      </c>
      <c r="L9" s="75">
        <f>IFERROR(IF(L$4="",0,IF($E9="kWh",VLOOKUP(L$4,'4. Billing Determinants'!$B$19:$N$41,4,0)/'4. Billing Determinants'!$E$41*$D9,IF($E9="kW",VLOOKUP(L$4,'4. Billing Determinants'!$B$19:$N$41,5,0)/'4. Billing Determinants'!$F$41*$D9,IF($E9="Non-RPP kWh",VLOOKUP(L$4,'4. Billing Determinants'!$B$19:$N$41,6,0)/'4. Billing Determinants'!$G$41*$D9,IF($E9="Distribution Rev.",VLOOKUP(L$4,'4. Billing Determinants'!$B$19:$N$41,8,0)/'4. Billing Determinants'!$I$41*$D9, VLOOKUP(L$4,'4. Billing Determinants'!$B$19:$N$41,3,0)/'4. Billing Determinants'!$D$41*$D9))))),0)</f>
        <v>0</v>
      </c>
      <c r="M9" s="75">
        <f>IFERROR(IF(M$4="",0,IF($E9="kWh",VLOOKUP(M$4,'4. Billing Determinants'!$B$19:$N$41,4,0)/'4. Billing Determinants'!$E$41*$D9,IF($E9="kW",VLOOKUP(M$4,'4. Billing Determinants'!$B$19:$N$41,5,0)/'4. Billing Determinants'!$F$41*$D9,IF($E9="Non-RPP kWh",VLOOKUP(M$4,'4. Billing Determinants'!$B$19:$N$41,6,0)/'4. Billing Determinants'!$G$41*$D9,IF($E9="Distribution Rev.",VLOOKUP(M$4,'4. Billing Determinants'!$B$19:$N$41,8,0)/'4. Billing Determinants'!$I$41*$D9, VLOOKUP(M$4,'4. Billing Determinants'!$B$19:$N$41,3,0)/'4. Billing Determinants'!$D$41*$D9))))),0)</f>
        <v>0</v>
      </c>
      <c r="N9" s="75">
        <f>IFERROR(IF(N$4="",0,IF($E9="kWh",VLOOKUP(N$4,'4. Billing Determinants'!$B$19:$N$41,4,0)/'4. Billing Determinants'!$E$41*$D9,IF($E9="kW",VLOOKUP(N$4,'4. Billing Determinants'!$B$19:$N$41,5,0)/'4. Billing Determinants'!$F$41*$D9,IF($E9="Non-RPP kWh",VLOOKUP(N$4,'4. Billing Determinants'!$B$19:$N$41,6,0)/'4. Billing Determinants'!$G$41*$D9,IF($E9="Distribution Rev.",VLOOKUP(N$4,'4. Billing Determinants'!$B$19:$N$41,8,0)/'4. Billing Determinants'!$I$41*$D9, VLOOKUP(N$4,'4. Billing Determinants'!$B$19:$N$41,3,0)/'4. Billing Determinants'!$D$41*$D9))))),0)</f>
        <v>0</v>
      </c>
      <c r="O9" s="75">
        <f>IFERROR(IF(O$4="",0,IF($E9="kWh",VLOOKUP(O$4,'4. Billing Determinants'!$B$19:$N$41,4,0)/'4. Billing Determinants'!$E$41*$D9,IF($E9="kW",VLOOKUP(O$4,'4. Billing Determinants'!$B$19:$N$41,5,0)/'4. Billing Determinants'!$F$41*$D9,IF($E9="Non-RPP kWh",VLOOKUP(O$4,'4. Billing Determinants'!$B$19:$N$41,6,0)/'4. Billing Determinants'!$G$41*$D9,IF($E9="Distribution Rev.",VLOOKUP(O$4,'4. Billing Determinants'!$B$19:$N$41,8,0)/'4. Billing Determinants'!$I$41*$D9, VLOOKUP(O$4,'4. Billing Determinants'!$B$19:$N$41,3,0)/'4. Billing Determinants'!$D$41*$D9))))),0)</f>
        <v>0</v>
      </c>
      <c r="P9" s="75">
        <f>IFERROR(IF(P$4="",0,IF($E9="kWh",VLOOKUP(P$4,'4. Billing Determinants'!$B$19:$N$41,4,0)/'4. Billing Determinants'!$E$41*$D9,IF($E9="kW",VLOOKUP(P$4,'4. Billing Determinants'!$B$19:$N$41,5,0)/'4. Billing Determinants'!$F$41*$D9,IF($E9="Non-RPP kWh",VLOOKUP(P$4,'4. Billing Determinants'!$B$19:$N$41,6,0)/'4. Billing Determinants'!$G$41*$D9,IF($E9="Distribution Rev.",VLOOKUP(P$4,'4. Billing Determinants'!$B$19:$N$41,8,0)/'4. Billing Determinants'!$I$41*$D9, VLOOKUP(P$4,'4. Billing Determinants'!$B$19:$N$41,3,0)/'4. Billing Determinants'!$D$41*$D9))))),0)</f>
        <v>0</v>
      </c>
      <c r="Q9" s="75">
        <f>IFERROR(IF(Q$4="",0,IF($E9="kWh",VLOOKUP(Q$4,'4. Billing Determinants'!$B$19:$N$41,4,0)/'4. Billing Determinants'!$E$41*$D9,IF($E9="kW",VLOOKUP(Q$4,'4. Billing Determinants'!$B$19:$N$41,5,0)/'4. Billing Determinants'!$F$41*$D9,IF($E9="Non-RPP kWh",VLOOKUP(Q$4,'4. Billing Determinants'!$B$19:$N$41,6,0)/'4. Billing Determinants'!$G$41*$D9,IF($E9="Distribution Rev.",VLOOKUP(Q$4,'4. Billing Determinants'!$B$19:$N$41,8,0)/'4. Billing Determinants'!$I$41*$D9, VLOOKUP(Q$4,'4. Billing Determinants'!$B$19:$N$41,3,0)/'4. Billing Determinants'!$D$41*$D9))))),0)</f>
        <v>0</v>
      </c>
      <c r="R9" s="75">
        <f>IFERROR(IF(R$4="",0,IF($E9="kWh",VLOOKUP(R$4,'4. Billing Determinants'!$B$19:$N$41,4,0)/'4. Billing Determinants'!$E$41*$D9,IF($E9="kW",VLOOKUP(R$4,'4. Billing Determinants'!$B$19:$N$41,5,0)/'4. Billing Determinants'!$F$41*$D9,IF($E9="Non-RPP kWh",VLOOKUP(R$4,'4. Billing Determinants'!$B$19:$N$41,6,0)/'4. Billing Determinants'!$G$41*$D9,IF($E9="Distribution Rev.",VLOOKUP(R$4,'4. Billing Determinants'!$B$19:$N$41,8,0)/'4. Billing Determinants'!$I$41*$D9, VLOOKUP(R$4,'4. Billing Determinants'!$B$19:$N$41,3,0)/'4. Billing Determinants'!$D$41*$D9))))),0)</f>
        <v>0</v>
      </c>
      <c r="S9" s="75">
        <f>IFERROR(IF(S$4="",0,IF($E9="kWh",VLOOKUP(S$4,'4. Billing Determinants'!$B$19:$N$41,4,0)/'4. Billing Determinants'!$E$41*$D9,IF($E9="kW",VLOOKUP(S$4,'4. Billing Determinants'!$B$19:$N$41,5,0)/'4. Billing Determinants'!$F$41*$D9,IF($E9="Non-RPP kWh",VLOOKUP(S$4,'4. Billing Determinants'!$B$19:$N$41,6,0)/'4. Billing Determinants'!$G$41*$D9,IF($E9="Distribution Rev.",VLOOKUP(S$4,'4. Billing Determinants'!$B$19:$N$41,8,0)/'4. Billing Determinants'!$I$41*$D9, VLOOKUP(S$4,'4. Billing Determinants'!$B$19:$N$41,3,0)/'4. Billing Determinants'!$D$41*$D9))))),0)</f>
        <v>0</v>
      </c>
      <c r="T9" s="75">
        <f>IFERROR(IF(T$4="",0,IF($E9="kWh",VLOOKUP(T$4,'4. Billing Determinants'!$B$19:$N$41,4,0)/'4. Billing Determinants'!$E$41*$D9,IF($E9="kW",VLOOKUP(T$4,'4. Billing Determinants'!$B$19:$N$41,5,0)/'4. Billing Determinants'!$F$41*$D9,IF($E9="Non-RPP kWh",VLOOKUP(T$4,'4. Billing Determinants'!$B$19:$N$41,6,0)/'4. Billing Determinants'!$G$41*$D9,IF($E9="Distribution Rev.",VLOOKUP(T$4,'4. Billing Determinants'!$B$19:$N$41,8,0)/'4. Billing Determinants'!$I$41*$D9, VLOOKUP(T$4,'4. Billing Determinants'!$B$19:$N$41,3,0)/'4. Billing Determinants'!$D$41*$D9))))),0)</f>
        <v>0</v>
      </c>
      <c r="U9" s="75">
        <f>IFERROR(IF(U$4="",0,IF($E9="kWh",VLOOKUP(U$4,'4. Billing Determinants'!$B$19:$N$41,4,0)/'4. Billing Determinants'!$E$41*$D9,IF($E9="kW",VLOOKUP(U$4,'4. Billing Determinants'!$B$19:$N$41,5,0)/'4. Billing Determinants'!$F$41*$D9,IF($E9="Non-RPP kWh",VLOOKUP(U$4,'4. Billing Determinants'!$B$19:$N$41,6,0)/'4. Billing Determinants'!$G$41*$D9,IF($E9="Distribution Rev.",VLOOKUP(U$4,'4. Billing Determinants'!$B$19:$N$41,8,0)/'4. Billing Determinants'!$I$41*$D9, VLOOKUP(U$4,'4. Billing Determinants'!$B$19:$N$41,3,0)/'4. Billing Determinants'!$D$41*$D9))))),0)</f>
        <v>0</v>
      </c>
      <c r="V9" s="75">
        <f>IFERROR(IF(V$4="",0,IF($E9="kWh",VLOOKUP(V$4,'4. Billing Determinants'!$B$19:$N$41,4,0)/'4. Billing Determinants'!$E$41*$D9,IF($E9="kW",VLOOKUP(V$4,'4. Billing Determinants'!$B$19:$N$41,5,0)/'4. Billing Determinants'!$F$41*$D9,IF($E9="Non-RPP kWh",VLOOKUP(V$4,'4. Billing Determinants'!$B$19:$N$41,6,0)/'4. Billing Determinants'!$G$41*$D9,IF($E9="Distribution Rev.",VLOOKUP(V$4,'4. Billing Determinants'!$B$19:$N$41,8,0)/'4. Billing Determinants'!$I$41*$D9, VLOOKUP(V$4,'4. Billing Determinants'!$B$19:$N$41,3,0)/'4. Billing Determinants'!$D$41*$D9))))),0)</f>
        <v>0</v>
      </c>
      <c r="W9" s="75">
        <f>IFERROR(IF(W$4="",0,IF($E9="kWh",VLOOKUP(W$4,'4. Billing Determinants'!$B$19:$N$41,4,0)/'4. Billing Determinants'!$E$41*$D9,IF($E9="kW",VLOOKUP(W$4,'4. Billing Determinants'!$B$19:$N$41,5,0)/'4. Billing Determinants'!$F$41*$D9,IF($E9="Non-RPP kWh",VLOOKUP(W$4,'4. Billing Determinants'!$B$19:$N$41,6,0)/'4. Billing Determinants'!$G$41*$D9,IF($E9="Distribution Rev.",VLOOKUP(W$4,'4. Billing Determinants'!$B$19:$N$41,8,0)/'4. Billing Determinants'!$I$41*$D9, VLOOKUP(W$4,'4. Billing Determinants'!$B$19:$N$41,3,0)/'4. Billing Determinants'!$D$41*$D9))))),0)</f>
        <v>0</v>
      </c>
      <c r="X9" s="75">
        <f>IFERROR(IF(X$4="",0,IF($E9="kWh",VLOOKUP(X$4,'4. Billing Determinants'!$B$19:$N$41,4,0)/'4. Billing Determinants'!$E$41*$D9,IF($E9="kW",VLOOKUP(X$4,'4. Billing Determinants'!$B$19:$N$41,5,0)/'4. Billing Determinants'!$F$41*$D9,IF($E9="Non-RPP kWh",VLOOKUP(X$4,'4. Billing Determinants'!$B$19:$N$41,6,0)/'4. Billing Determinants'!$G$41*$D9,IF($E9="Distribution Rev.",VLOOKUP(X$4,'4. Billing Determinants'!$B$19:$N$41,8,0)/'4. Billing Determinants'!$I$41*$D9, VLOOKUP(X$4,'4. Billing Determinants'!$B$19:$N$41,3,0)/'4. Billing Determinants'!$D$41*$D9))))),0)</f>
        <v>0</v>
      </c>
      <c r="Y9" s="75">
        <f>IFERROR(IF(Y$4="",0,IF($E9="kWh",VLOOKUP(Y$4,'4. Billing Determinants'!$B$19:$N$41,4,0)/'4. Billing Determinants'!$E$41*$D9,IF($E9="kW",VLOOKUP(Y$4,'4. Billing Determinants'!$B$19:$N$41,5,0)/'4. Billing Determinants'!$F$41*$D9,IF($E9="Non-RPP kWh",VLOOKUP(Y$4,'4. Billing Determinants'!$B$19:$N$41,6,0)/'4. Billing Determinants'!$G$41*$D9,IF($E9="Distribution Rev.",VLOOKUP(Y$4,'4. Billing Determinants'!$B$19:$N$41,8,0)/'4. Billing Determinants'!$I$41*$D9, VLOOKUP(Y$4,'4. Billing Determinants'!$B$19:$N$41,3,0)/'4. Billing Determinants'!$D$41*$D9))))),0)</f>
        <v>0</v>
      </c>
    </row>
    <row r="10" spans="2:25" x14ac:dyDescent="0.2">
      <c r="B10" s="76" t="s">
        <v>169</v>
      </c>
      <c r="C10" s="74">
        <v>1589</v>
      </c>
      <c r="D10" s="75">
        <f>'2. 2013 Continuity Schedule'!CP29</f>
        <v>621585.59999999986</v>
      </c>
      <c r="E10" s="208" t="s">
        <v>308</v>
      </c>
      <c r="F10" s="75">
        <f>IFERROR(IF(F$4="",0,IF($E10="kWh",VLOOKUP(F$4,'4. Billing Determinants'!$B$19:$N$41,4,0)/'4. Billing Determinants'!$E$41*$D10,IF($E10="kW",VLOOKUP(F$4,'4. Billing Determinants'!$B$19:$N$41,5,0)/'4. Billing Determinants'!$F$41*$D10,IF($E10="Non-RPP kWh",VLOOKUP(F$4,'4. Billing Determinants'!$B$19:$N$41,6,0)/'4. Billing Determinants'!$G$41*$D10,IF($E10="Distribution Rev.",VLOOKUP(F$4,'4. Billing Determinants'!$B$19:$N$41,8,0)/'4. Billing Determinants'!$I$41*$D10, VLOOKUP(F$4,'4. Billing Determinants'!$B$19:$N$41,3,0)/'4. Billing Determinants'!$D$41*$D10))))),0)</f>
        <v>73554.485140340577</v>
      </c>
      <c r="G10" s="75">
        <f>IFERROR(IF(G$4="",0,IF($E10="kWh",VLOOKUP(G$4,'4. Billing Determinants'!$B$19:$N$41,4,0)/'4. Billing Determinants'!$E$41*$D10,IF($E10="kW",VLOOKUP(G$4,'4. Billing Determinants'!$B$19:$N$41,5,0)/'4. Billing Determinants'!$F$41*$D10,IF($E10="Non-RPP kWh",VLOOKUP(G$4,'4. Billing Determinants'!$B$19:$N$41,6,0)/'4. Billing Determinants'!$G$41*$D10,IF($E10="Distribution Rev.",VLOOKUP(G$4,'4. Billing Determinants'!$B$19:$N$41,8,0)/'4. Billing Determinants'!$I$41*$D10, VLOOKUP(G$4,'4. Billing Determinants'!$B$19:$N$41,3,0)/'4. Billing Determinants'!$D$41*$D10))))),0)</f>
        <v>64012.70492411944</v>
      </c>
      <c r="H10" s="75">
        <f>IFERROR(IF(H$4="",0,IF($E10="kWh",VLOOKUP(H$4,'4. Billing Determinants'!$B$19:$N$41,4,0)/'4. Billing Determinants'!$E$41*$D10,IF($E10="kW",VLOOKUP(H$4,'4. Billing Determinants'!$B$19:$N$41,5,0)/'4. Billing Determinants'!$F$41*$D10,IF($E10="Non-RPP kWh",VLOOKUP(H$4,'4. Billing Determinants'!$B$19:$N$41,6,0)/'4. Billing Determinants'!$G$41*$D10,IF($E10="Distribution Rev.",VLOOKUP(H$4,'4. Billing Determinants'!$B$19:$N$41,8,0)/'4. Billing Determinants'!$I$41*$D10, VLOOKUP(H$4,'4. Billing Determinants'!$B$19:$N$41,3,0)/'4. Billing Determinants'!$D$41*$D10))))),0)</f>
        <v>473414.90304568526</v>
      </c>
      <c r="I10" s="75">
        <f>IFERROR(IF(I$4="",0,IF($E10="kWh",VLOOKUP(I$4,'4. Billing Determinants'!$B$19:$N$41,4,0)/'4. Billing Determinants'!$E$41*$D10,IF($E10="kW",VLOOKUP(I$4,'4. Billing Determinants'!$B$19:$N$41,5,0)/'4. Billing Determinants'!$F$41*$D10,IF($E10="Non-RPP kWh",VLOOKUP(I$4,'4. Billing Determinants'!$B$19:$N$41,6,0)/'4. Billing Determinants'!$G$41*$D10,IF($E10="Distribution Rev.",VLOOKUP(I$4,'4. Billing Determinants'!$B$19:$N$41,8,0)/'4. Billing Determinants'!$I$41*$D10, VLOOKUP(I$4,'4. Billing Determinants'!$B$19:$N$41,3,0)/'4. Billing Determinants'!$D$41*$D10))))),0)</f>
        <v>230.00696954317391</v>
      </c>
      <c r="J10" s="75">
        <f>IFERROR(IF(J$4="",0,IF($E10="kWh",VLOOKUP(J$4,'4. Billing Determinants'!$B$19:$N$41,4,0)/'4. Billing Determinants'!$E$41*$D10,IF($E10="kW",VLOOKUP(J$4,'4. Billing Determinants'!$B$19:$N$41,5,0)/'4. Billing Determinants'!$F$41*$D10,IF($E10="Non-RPP kWh",VLOOKUP(J$4,'4. Billing Determinants'!$B$19:$N$41,6,0)/'4. Billing Determinants'!$G$41*$D10,IF($E10="Distribution Rev.",VLOOKUP(J$4,'4. Billing Determinants'!$B$19:$N$41,8,0)/'4. Billing Determinants'!$I$41*$D10, VLOOKUP(J$4,'4. Billing Determinants'!$B$19:$N$41,3,0)/'4. Billing Determinants'!$D$41*$D10))))),0)</f>
        <v>10115.563224742436</v>
      </c>
      <c r="K10" s="75">
        <f>IFERROR(IF(K$4="",0,IF($E10="kWh",VLOOKUP(K$4,'4. Billing Determinants'!$B$19:$N$41,4,0)/'4. Billing Determinants'!$E$41*$D10,IF($E10="kW",VLOOKUP(K$4,'4. Billing Determinants'!$B$19:$N$41,5,0)/'4. Billing Determinants'!$F$41*$D10,IF($E10="Non-RPP kWh",VLOOKUP(K$4,'4. Billing Determinants'!$B$19:$N$41,6,0)/'4. Billing Determinants'!$G$41*$D10,IF($E10="Distribution Rev.",VLOOKUP(K$4,'4. Billing Determinants'!$B$19:$N$41,8,0)/'4. Billing Determinants'!$I$41*$D10, VLOOKUP(K$4,'4. Billing Determinants'!$B$19:$N$41,3,0)/'4. Billing Determinants'!$D$41*$D10))))),0)</f>
        <v>257.93669556895509</v>
      </c>
      <c r="L10" s="75">
        <f>IFERROR(IF(L$4="",0,IF($E10="kWh",VLOOKUP(L$4,'4. Billing Determinants'!$B$19:$N$41,4,0)/'4. Billing Determinants'!$E$41*$D10,IF($E10="kW",VLOOKUP(L$4,'4. Billing Determinants'!$B$19:$N$41,5,0)/'4. Billing Determinants'!$F$41*$D10,IF($E10="Non-RPP kWh",VLOOKUP(L$4,'4. Billing Determinants'!$B$19:$N$41,6,0)/'4. Billing Determinants'!$G$41*$D10,IF($E10="Distribution Rev.",VLOOKUP(L$4,'4. Billing Determinants'!$B$19:$N$41,8,0)/'4. Billing Determinants'!$I$41*$D10, VLOOKUP(L$4,'4. Billing Determinants'!$B$19:$N$41,3,0)/'4. Billing Determinants'!$D$41*$D10))))),0)</f>
        <v>0</v>
      </c>
      <c r="M10" s="75">
        <f>IFERROR(IF(M$4="",0,IF($E10="kWh",VLOOKUP(M$4,'4. Billing Determinants'!$B$19:$N$41,4,0)/'4. Billing Determinants'!$E$41*$D10,IF($E10="kW",VLOOKUP(M$4,'4. Billing Determinants'!$B$19:$N$41,5,0)/'4. Billing Determinants'!$F$41*$D10,IF($E10="Non-RPP kWh",VLOOKUP(M$4,'4. Billing Determinants'!$B$19:$N$41,6,0)/'4. Billing Determinants'!$G$41*$D10,IF($E10="Distribution Rev.",VLOOKUP(M$4,'4. Billing Determinants'!$B$19:$N$41,8,0)/'4. Billing Determinants'!$I$41*$D10, VLOOKUP(M$4,'4. Billing Determinants'!$B$19:$N$41,3,0)/'4. Billing Determinants'!$D$41*$D10))))),0)</f>
        <v>0</v>
      </c>
      <c r="N10" s="75">
        <f>IFERROR(IF(N$4="",0,IF($E10="kWh",VLOOKUP(N$4,'4. Billing Determinants'!$B$19:$N$41,4,0)/'4. Billing Determinants'!$E$41*$D10,IF($E10="kW",VLOOKUP(N$4,'4. Billing Determinants'!$B$19:$N$41,5,0)/'4. Billing Determinants'!$F$41*$D10,IF($E10="Non-RPP kWh",VLOOKUP(N$4,'4. Billing Determinants'!$B$19:$N$41,6,0)/'4. Billing Determinants'!$G$41*$D10,IF($E10="Distribution Rev.",VLOOKUP(N$4,'4. Billing Determinants'!$B$19:$N$41,8,0)/'4. Billing Determinants'!$I$41*$D10, VLOOKUP(N$4,'4. Billing Determinants'!$B$19:$N$41,3,0)/'4. Billing Determinants'!$D$41*$D10))))),0)</f>
        <v>0</v>
      </c>
      <c r="O10" s="75">
        <f>IFERROR(IF(O$4="",0,IF($E10="kWh",VLOOKUP(O$4,'4. Billing Determinants'!$B$19:$N$41,4,0)/'4. Billing Determinants'!$E$41*$D10,IF($E10="kW",VLOOKUP(O$4,'4. Billing Determinants'!$B$19:$N$41,5,0)/'4. Billing Determinants'!$F$41*$D10,IF($E10="Non-RPP kWh",VLOOKUP(O$4,'4. Billing Determinants'!$B$19:$N$41,6,0)/'4. Billing Determinants'!$G$41*$D10,IF($E10="Distribution Rev.",VLOOKUP(O$4,'4. Billing Determinants'!$B$19:$N$41,8,0)/'4. Billing Determinants'!$I$41*$D10, VLOOKUP(O$4,'4. Billing Determinants'!$B$19:$N$41,3,0)/'4. Billing Determinants'!$D$41*$D10))))),0)</f>
        <v>0</v>
      </c>
      <c r="P10" s="75">
        <f>IFERROR(IF(P$4="",0,IF($E10="kWh",VLOOKUP(P$4,'4. Billing Determinants'!$B$19:$N$41,4,0)/'4. Billing Determinants'!$E$41*$D10,IF($E10="kW",VLOOKUP(P$4,'4. Billing Determinants'!$B$19:$N$41,5,0)/'4. Billing Determinants'!$F$41*$D10,IF($E10="Non-RPP kWh",VLOOKUP(P$4,'4. Billing Determinants'!$B$19:$N$41,6,0)/'4. Billing Determinants'!$G$41*$D10,IF($E10="Distribution Rev.",VLOOKUP(P$4,'4. Billing Determinants'!$B$19:$N$41,8,0)/'4. Billing Determinants'!$I$41*$D10, VLOOKUP(P$4,'4. Billing Determinants'!$B$19:$N$41,3,0)/'4. Billing Determinants'!$D$41*$D10))))),0)</f>
        <v>0</v>
      </c>
      <c r="Q10" s="75">
        <f>IFERROR(IF(Q$4="",0,IF($E10="kWh",VLOOKUP(Q$4,'4. Billing Determinants'!$B$19:$N$41,4,0)/'4. Billing Determinants'!$E$41*$D10,IF($E10="kW",VLOOKUP(Q$4,'4. Billing Determinants'!$B$19:$N$41,5,0)/'4. Billing Determinants'!$F$41*$D10,IF($E10="Non-RPP kWh",VLOOKUP(Q$4,'4. Billing Determinants'!$B$19:$N$41,6,0)/'4. Billing Determinants'!$G$41*$D10,IF($E10="Distribution Rev.",VLOOKUP(Q$4,'4. Billing Determinants'!$B$19:$N$41,8,0)/'4. Billing Determinants'!$I$41*$D10, VLOOKUP(Q$4,'4. Billing Determinants'!$B$19:$N$41,3,0)/'4. Billing Determinants'!$D$41*$D10))))),0)</f>
        <v>0</v>
      </c>
      <c r="R10" s="75">
        <f>IFERROR(IF(R$4="",0,IF($E10="kWh",VLOOKUP(R$4,'4. Billing Determinants'!$B$19:$N$41,4,0)/'4. Billing Determinants'!$E$41*$D10,IF($E10="kW",VLOOKUP(R$4,'4. Billing Determinants'!$B$19:$N$41,5,0)/'4. Billing Determinants'!$F$41*$D10,IF($E10="Non-RPP kWh",VLOOKUP(R$4,'4. Billing Determinants'!$B$19:$N$41,6,0)/'4. Billing Determinants'!$G$41*$D10,IF($E10="Distribution Rev.",VLOOKUP(R$4,'4. Billing Determinants'!$B$19:$N$41,8,0)/'4. Billing Determinants'!$I$41*$D10, VLOOKUP(R$4,'4. Billing Determinants'!$B$19:$N$41,3,0)/'4. Billing Determinants'!$D$41*$D10))))),0)</f>
        <v>0</v>
      </c>
      <c r="S10" s="75">
        <f>IFERROR(IF(S$4="",0,IF($E10="kWh",VLOOKUP(S$4,'4. Billing Determinants'!$B$19:$N$41,4,0)/'4. Billing Determinants'!$E$41*$D10,IF($E10="kW",VLOOKUP(S$4,'4. Billing Determinants'!$B$19:$N$41,5,0)/'4. Billing Determinants'!$F$41*$D10,IF($E10="Non-RPP kWh",VLOOKUP(S$4,'4. Billing Determinants'!$B$19:$N$41,6,0)/'4. Billing Determinants'!$G$41*$D10,IF($E10="Distribution Rev.",VLOOKUP(S$4,'4. Billing Determinants'!$B$19:$N$41,8,0)/'4. Billing Determinants'!$I$41*$D10, VLOOKUP(S$4,'4. Billing Determinants'!$B$19:$N$41,3,0)/'4. Billing Determinants'!$D$41*$D10))))),0)</f>
        <v>0</v>
      </c>
      <c r="T10" s="75">
        <f>IFERROR(IF(T$4="",0,IF($E10="kWh",VLOOKUP(T$4,'4. Billing Determinants'!$B$19:$N$41,4,0)/'4. Billing Determinants'!$E$41*$D10,IF($E10="kW",VLOOKUP(T$4,'4. Billing Determinants'!$B$19:$N$41,5,0)/'4. Billing Determinants'!$F$41*$D10,IF($E10="Non-RPP kWh",VLOOKUP(T$4,'4. Billing Determinants'!$B$19:$N$41,6,0)/'4. Billing Determinants'!$G$41*$D10,IF($E10="Distribution Rev.",VLOOKUP(T$4,'4. Billing Determinants'!$B$19:$N$41,8,0)/'4. Billing Determinants'!$I$41*$D10, VLOOKUP(T$4,'4. Billing Determinants'!$B$19:$N$41,3,0)/'4. Billing Determinants'!$D$41*$D10))))),0)</f>
        <v>0</v>
      </c>
      <c r="U10" s="75">
        <f>IFERROR(IF(U$4="",0,IF($E10="kWh",VLOOKUP(U$4,'4. Billing Determinants'!$B$19:$N$41,4,0)/'4. Billing Determinants'!$E$41*$D10,IF($E10="kW",VLOOKUP(U$4,'4. Billing Determinants'!$B$19:$N$41,5,0)/'4. Billing Determinants'!$F$41*$D10,IF($E10="Non-RPP kWh",VLOOKUP(U$4,'4. Billing Determinants'!$B$19:$N$41,6,0)/'4. Billing Determinants'!$G$41*$D10,IF($E10="Distribution Rev.",VLOOKUP(U$4,'4. Billing Determinants'!$B$19:$N$41,8,0)/'4. Billing Determinants'!$I$41*$D10, VLOOKUP(U$4,'4. Billing Determinants'!$B$19:$N$41,3,0)/'4. Billing Determinants'!$D$41*$D10))))),0)</f>
        <v>0</v>
      </c>
      <c r="V10" s="75">
        <f>IFERROR(IF(V$4="",0,IF($E10="kWh",VLOOKUP(V$4,'4. Billing Determinants'!$B$19:$N$41,4,0)/'4. Billing Determinants'!$E$41*$D10,IF($E10="kW",VLOOKUP(V$4,'4. Billing Determinants'!$B$19:$N$41,5,0)/'4. Billing Determinants'!$F$41*$D10,IF($E10="Non-RPP kWh",VLOOKUP(V$4,'4. Billing Determinants'!$B$19:$N$41,6,0)/'4. Billing Determinants'!$G$41*$D10,IF($E10="Distribution Rev.",VLOOKUP(V$4,'4. Billing Determinants'!$B$19:$N$41,8,0)/'4. Billing Determinants'!$I$41*$D10, VLOOKUP(V$4,'4. Billing Determinants'!$B$19:$N$41,3,0)/'4. Billing Determinants'!$D$41*$D10))))),0)</f>
        <v>0</v>
      </c>
      <c r="W10" s="75">
        <f>IFERROR(IF(W$4="",0,IF($E10="kWh",VLOOKUP(W$4,'4. Billing Determinants'!$B$19:$N$41,4,0)/'4. Billing Determinants'!$E$41*$D10,IF($E10="kW",VLOOKUP(W$4,'4. Billing Determinants'!$B$19:$N$41,5,0)/'4. Billing Determinants'!$F$41*$D10,IF($E10="Non-RPP kWh",VLOOKUP(W$4,'4. Billing Determinants'!$B$19:$N$41,6,0)/'4. Billing Determinants'!$G$41*$D10,IF($E10="Distribution Rev.",VLOOKUP(W$4,'4. Billing Determinants'!$B$19:$N$41,8,0)/'4. Billing Determinants'!$I$41*$D10, VLOOKUP(W$4,'4. Billing Determinants'!$B$19:$N$41,3,0)/'4. Billing Determinants'!$D$41*$D10))))),0)</f>
        <v>0</v>
      </c>
      <c r="X10" s="75">
        <f>IFERROR(IF(X$4="",0,IF($E10="kWh",VLOOKUP(X$4,'4. Billing Determinants'!$B$19:$N$41,4,0)/'4. Billing Determinants'!$E$41*$D10,IF($E10="kW",VLOOKUP(X$4,'4. Billing Determinants'!$B$19:$N$41,5,0)/'4. Billing Determinants'!$F$41*$D10,IF($E10="Non-RPP kWh",VLOOKUP(X$4,'4. Billing Determinants'!$B$19:$N$41,6,0)/'4. Billing Determinants'!$G$41*$D10,IF($E10="Distribution Rev.",VLOOKUP(X$4,'4. Billing Determinants'!$B$19:$N$41,8,0)/'4. Billing Determinants'!$I$41*$D10, VLOOKUP(X$4,'4. Billing Determinants'!$B$19:$N$41,3,0)/'4. Billing Determinants'!$D$41*$D10))))),0)</f>
        <v>0</v>
      </c>
      <c r="Y10" s="75">
        <f>IFERROR(IF(Y$4="",0,IF($E10="kWh",VLOOKUP(Y$4,'4. Billing Determinants'!$B$19:$N$41,4,0)/'4. Billing Determinants'!$E$41*$D10,IF($E10="kW",VLOOKUP(Y$4,'4. Billing Determinants'!$B$19:$N$41,5,0)/'4. Billing Determinants'!$F$41*$D10,IF($E10="Non-RPP kWh",VLOOKUP(Y$4,'4. Billing Determinants'!$B$19:$N$41,6,0)/'4. Billing Determinants'!$G$41*$D10,IF($E10="Distribution Rev.",VLOOKUP(Y$4,'4. Billing Determinants'!$B$19:$N$41,8,0)/'4. Billing Determinants'!$I$41*$D10, VLOOKUP(Y$4,'4. Billing Determinants'!$B$19:$N$41,3,0)/'4. Billing Determinants'!$D$41*$D10))))),0)</f>
        <v>0</v>
      </c>
    </row>
    <row r="11" spans="2:25" x14ac:dyDescent="0.2">
      <c r="B11" s="73" t="s">
        <v>19</v>
      </c>
      <c r="C11" s="74">
        <v>1590</v>
      </c>
      <c r="D11" s="75">
        <f>'2. 2013 Continuity Schedule'!CP30</f>
        <v>0</v>
      </c>
      <c r="E11" s="208"/>
      <c r="F11" s="75">
        <f>IFERROR(IF(F$4="",0,IF($E11="kWh",VLOOKUP(F$4,'4. Billing Determinants'!$B$19:$N$41,4,0)/'4. Billing Determinants'!$E$41*$D11,IF($E11="kW",VLOOKUP(F$4,'4. Billing Determinants'!$B$19:$N$41,5,0)/'4. Billing Determinants'!$F$41*$D11,IF($E11="Non-RPP kWh",VLOOKUP(F$4,'4. Billing Determinants'!$B$19:$N$41,6,0)/'4. Billing Determinants'!$G$41*$D11,IF($E11="Distribution Rev.",VLOOKUP(F$4,'4. Billing Determinants'!$B$19:$N$41,8,0)/'4. Billing Determinants'!$I$41*$D11, VLOOKUP(F$4,'4. Billing Determinants'!$B$19:$N$41,3,0)/'4. Billing Determinants'!$D$41*$D11))))),0)</f>
        <v>0</v>
      </c>
      <c r="G11" s="75">
        <f>IFERROR(IF(G$4="",0,IF($E11="kWh",VLOOKUP(G$4,'4. Billing Determinants'!$B$19:$N$41,4,0)/'4. Billing Determinants'!$E$41*$D11,IF($E11="kW",VLOOKUP(G$4,'4. Billing Determinants'!$B$19:$N$41,5,0)/'4. Billing Determinants'!$F$41*$D11,IF($E11="Non-RPP kWh",VLOOKUP(G$4,'4. Billing Determinants'!$B$19:$N$41,6,0)/'4. Billing Determinants'!$G$41*$D11,IF($E11="Distribution Rev.",VLOOKUP(G$4,'4. Billing Determinants'!$B$19:$N$41,8,0)/'4. Billing Determinants'!$I$41*$D11, VLOOKUP(G$4,'4. Billing Determinants'!$B$19:$N$41,3,0)/'4. Billing Determinants'!$D$41*$D11))))),0)</f>
        <v>0</v>
      </c>
      <c r="H11" s="75">
        <f>IFERROR(IF(H$4="",0,IF($E11="kWh",VLOOKUP(H$4,'4. Billing Determinants'!$B$19:$N$41,4,0)/'4. Billing Determinants'!$E$41*$D11,IF($E11="kW",VLOOKUP(H$4,'4. Billing Determinants'!$B$19:$N$41,5,0)/'4. Billing Determinants'!$F$41*$D11,IF($E11="Non-RPP kWh",VLOOKUP(H$4,'4. Billing Determinants'!$B$19:$N$41,6,0)/'4. Billing Determinants'!$G$41*$D11,IF($E11="Distribution Rev.",VLOOKUP(H$4,'4. Billing Determinants'!$B$19:$N$41,8,0)/'4. Billing Determinants'!$I$41*$D11, VLOOKUP(H$4,'4. Billing Determinants'!$B$19:$N$41,3,0)/'4. Billing Determinants'!$D$41*$D11))))),0)</f>
        <v>0</v>
      </c>
      <c r="I11" s="75">
        <f>IFERROR(IF(I$4="",0,IF($E11="kWh",VLOOKUP(I$4,'4. Billing Determinants'!$B$19:$N$41,4,0)/'4. Billing Determinants'!$E$41*$D11,IF($E11="kW",VLOOKUP(I$4,'4. Billing Determinants'!$B$19:$N$41,5,0)/'4. Billing Determinants'!$F$41*$D11,IF($E11="Non-RPP kWh",VLOOKUP(I$4,'4. Billing Determinants'!$B$19:$N$41,6,0)/'4. Billing Determinants'!$G$41*$D11,IF($E11="Distribution Rev.",VLOOKUP(I$4,'4. Billing Determinants'!$B$19:$N$41,8,0)/'4. Billing Determinants'!$I$41*$D11, VLOOKUP(I$4,'4. Billing Determinants'!$B$19:$N$41,3,0)/'4. Billing Determinants'!$D$41*$D11))))),0)</f>
        <v>0</v>
      </c>
      <c r="J11" s="75">
        <f>IFERROR(IF(J$4="",0,IF($E11="kWh",VLOOKUP(J$4,'4. Billing Determinants'!$B$19:$N$41,4,0)/'4. Billing Determinants'!$E$41*$D11,IF($E11="kW",VLOOKUP(J$4,'4. Billing Determinants'!$B$19:$N$41,5,0)/'4. Billing Determinants'!$F$41*$D11,IF($E11="Non-RPP kWh",VLOOKUP(J$4,'4. Billing Determinants'!$B$19:$N$41,6,0)/'4. Billing Determinants'!$G$41*$D11,IF($E11="Distribution Rev.",VLOOKUP(J$4,'4. Billing Determinants'!$B$19:$N$41,8,0)/'4. Billing Determinants'!$I$41*$D11, VLOOKUP(J$4,'4. Billing Determinants'!$B$19:$N$41,3,0)/'4. Billing Determinants'!$D$41*$D11))))),0)</f>
        <v>0</v>
      </c>
      <c r="K11" s="75">
        <f>IFERROR(IF(K$4="",0,IF($E11="kWh",VLOOKUP(K$4,'4. Billing Determinants'!$B$19:$N$41,4,0)/'4. Billing Determinants'!$E$41*$D11,IF($E11="kW",VLOOKUP(K$4,'4. Billing Determinants'!$B$19:$N$41,5,0)/'4. Billing Determinants'!$F$41*$D11,IF($E11="Non-RPP kWh",VLOOKUP(K$4,'4. Billing Determinants'!$B$19:$N$41,6,0)/'4. Billing Determinants'!$G$41*$D11,IF($E11="Distribution Rev.",VLOOKUP(K$4,'4. Billing Determinants'!$B$19:$N$41,8,0)/'4. Billing Determinants'!$I$41*$D11, VLOOKUP(K$4,'4. Billing Determinants'!$B$19:$N$41,3,0)/'4. Billing Determinants'!$D$41*$D11))))),0)</f>
        <v>0</v>
      </c>
      <c r="L11" s="75">
        <f>IFERROR(IF(L$4="",0,IF($E11="kWh",VLOOKUP(L$4,'4. Billing Determinants'!$B$19:$N$41,4,0)/'4. Billing Determinants'!$E$41*$D11,IF($E11="kW",VLOOKUP(L$4,'4. Billing Determinants'!$B$19:$N$41,5,0)/'4. Billing Determinants'!$F$41*$D11,IF($E11="Non-RPP kWh",VLOOKUP(L$4,'4. Billing Determinants'!$B$19:$N$41,6,0)/'4. Billing Determinants'!$G$41*$D11,IF($E11="Distribution Rev.",VLOOKUP(L$4,'4. Billing Determinants'!$B$19:$N$41,8,0)/'4. Billing Determinants'!$I$41*$D11, VLOOKUP(L$4,'4. Billing Determinants'!$B$19:$N$41,3,0)/'4. Billing Determinants'!$D$41*$D11))))),0)</f>
        <v>0</v>
      </c>
      <c r="M11" s="75">
        <f>IFERROR(IF(M$4="",0,IF($E11="kWh",VLOOKUP(M$4,'4. Billing Determinants'!$B$19:$N$41,4,0)/'4. Billing Determinants'!$E$41*$D11,IF($E11="kW",VLOOKUP(M$4,'4. Billing Determinants'!$B$19:$N$41,5,0)/'4. Billing Determinants'!$F$41*$D11,IF($E11="Non-RPP kWh",VLOOKUP(M$4,'4. Billing Determinants'!$B$19:$N$41,6,0)/'4. Billing Determinants'!$G$41*$D11,IF($E11="Distribution Rev.",VLOOKUP(M$4,'4. Billing Determinants'!$B$19:$N$41,8,0)/'4. Billing Determinants'!$I$41*$D11, VLOOKUP(M$4,'4. Billing Determinants'!$B$19:$N$41,3,0)/'4. Billing Determinants'!$D$41*$D11))))),0)</f>
        <v>0</v>
      </c>
      <c r="N11" s="75">
        <f>IFERROR(IF(N$4="",0,IF($E11="kWh",VLOOKUP(N$4,'4. Billing Determinants'!$B$19:$N$41,4,0)/'4. Billing Determinants'!$E$41*$D11,IF($E11="kW",VLOOKUP(N$4,'4. Billing Determinants'!$B$19:$N$41,5,0)/'4. Billing Determinants'!$F$41*$D11,IF($E11="Non-RPP kWh",VLOOKUP(N$4,'4. Billing Determinants'!$B$19:$N$41,6,0)/'4. Billing Determinants'!$G$41*$D11,IF($E11="Distribution Rev.",VLOOKUP(N$4,'4. Billing Determinants'!$B$19:$N$41,8,0)/'4. Billing Determinants'!$I$41*$D11, VLOOKUP(N$4,'4. Billing Determinants'!$B$19:$N$41,3,0)/'4. Billing Determinants'!$D$41*$D11))))),0)</f>
        <v>0</v>
      </c>
      <c r="O11" s="75">
        <f>IFERROR(IF(O$4="",0,IF($E11="kWh",VLOOKUP(O$4,'4. Billing Determinants'!$B$19:$N$41,4,0)/'4. Billing Determinants'!$E$41*$D11,IF($E11="kW",VLOOKUP(O$4,'4. Billing Determinants'!$B$19:$N$41,5,0)/'4. Billing Determinants'!$F$41*$D11,IF($E11="Non-RPP kWh",VLOOKUP(O$4,'4. Billing Determinants'!$B$19:$N$41,6,0)/'4. Billing Determinants'!$G$41*$D11,IF($E11="Distribution Rev.",VLOOKUP(O$4,'4. Billing Determinants'!$B$19:$N$41,8,0)/'4. Billing Determinants'!$I$41*$D11, VLOOKUP(O$4,'4. Billing Determinants'!$B$19:$N$41,3,0)/'4. Billing Determinants'!$D$41*$D11))))),0)</f>
        <v>0</v>
      </c>
      <c r="P11" s="75">
        <f>IFERROR(IF(P$4="",0,IF($E11="kWh",VLOOKUP(P$4,'4. Billing Determinants'!$B$19:$N$41,4,0)/'4. Billing Determinants'!$E$41*$D11,IF($E11="kW",VLOOKUP(P$4,'4. Billing Determinants'!$B$19:$N$41,5,0)/'4. Billing Determinants'!$F$41*$D11,IF($E11="Non-RPP kWh",VLOOKUP(P$4,'4. Billing Determinants'!$B$19:$N$41,6,0)/'4. Billing Determinants'!$G$41*$D11,IF($E11="Distribution Rev.",VLOOKUP(P$4,'4. Billing Determinants'!$B$19:$N$41,8,0)/'4. Billing Determinants'!$I$41*$D11, VLOOKUP(P$4,'4. Billing Determinants'!$B$19:$N$41,3,0)/'4. Billing Determinants'!$D$41*$D11))))),0)</f>
        <v>0</v>
      </c>
      <c r="Q11" s="75">
        <f>IFERROR(IF(Q$4="",0,IF($E11="kWh",VLOOKUP(Q$4,'4. Billing Determinants'!$B$19:$N$41,4,0)/'4. Billing Determinants'!$E$41*$D11,IF($E11="kW",VLOOKUP(Q$4,'4. Billing Determinants'!$B$19:$N$41,5,0)/'4. Billing Determinants'!$F$41*$D11,IF($E11="Non-RPP kWh",VLOOKUP(Q$4,'4. Billing Determinants'!$B$19:$N$41,6,0)/'4. Billing Determinants'!$G$41*$D11,IF($E11="Distribution Rev.",VLOOKUP(Q$4,'4. Billing Determinants'!$B$19:$N$41,8,0)/'4. Billing Determinants'!$I$41*$D11, VLOOKUP(Q$4,'4. Billing Determinants'!$B$19:$N$41,3,0)/'4. Billing Determinants'!$D$41*$D11))))),0)</f>
        <v>0</v>
      </c>
      <c r="R11" s="75">
        <f>IFERROR(IF(R$4="",0,IF($E11="kWh",VLOOKUP(R$4,'4. Billing Determinants'!$B$19:$N$41,4,0)/'4. Billing Determinants'!$E$41*$D11,IF($E11="kW",VLOOKUP(R$4,'4. Billing Determinants'!$B$19:$N$41,5,0)/'4. Billing Determinants'!$F$41*$D11,IF($E11="Non-RPP kWh",VLOOKUP(R$4,'4. Billing Determinants'!$B$19:$N$41,6,0)/'4. Billing Determinants'!$G$41*$D11,IF($E11="Distribution Rev.",VLOOKUP(R$4,'4. Billing Determinants'!$B$19:$N$41,8,0)/'4. Billing Determinants'!$I$41*$D11, VLOOKUP(R$4,'4. Billing Determinants'!$B$19:$N$41,3,0)/'4. Billing Determinants'!$D$41*$D11))))),0)</f>
        <v>0</v>
      </c>
      <c r="S11" s="75">
        <f>IFERROR(IF(S$4="",0,IF($E11="kWh",VLOOKUP(S$4,'4. Billing Determinants'!$B$19:$N$41,4,0)/'4. Billing Determinants'!$E$41*$D11,IF($E11="kW",VLOOKUP(S$4,'4. Billing Determinants'!$B$19:$N$41,5,0)/'4. Billing Determinants'!$F$41*$D11,IF($E11="Non-RPP kWh",VLOOKUP(S$4,'4. Billing Determinants'!$B$19:$N$41,6,0)/'4. Billing Determinants'!$G$41*$D11,IF($E11="Distribution Rev.",VLOOKUP(S$4,'4. Billing Determinants'!$B$19:$N$41,8,0)/'4. Billing Determinants'!$I$41*$D11, VLOOKUP(S$4,'4. Billing Determinants'!$B$19:$N$41,3,0)/'4. Billing Determinants'!$D$41*$D11))))),0)</f>
        <v>0</v>
      </c>
      <c r="T11" s="75">
        <f>IFERROR(IF(T$4="",0,IF($E11="kWh",VLOOKUP(T$4,'4. Billing Determinants'!$B$19:$N$41,4,0)/'4. Billing Determinants'!$E$41*$D11,IF($E11="kW",VLOOKUP(T$4,'4. Billing Determinants'!$B$19:$N$41,5,0)/'4. Billing Determinants'!$F$41*$D11,IF($E11="Non-RPP kWh",VLOOKUP(T$4,'4. Billing Determinants'!$B$19:$N$41,6,0)/'4. Billing Determinants'!$G$41*$D11,IF($E11="Distribution Rev.",VLOOKUP(T$4,'4. Billing Determinants'!$B$19:$N$41,8,0)/'4. Billing Determinants'!$I$41*$D11, VLOOKUP(T$4,'4. Billing Determinants'!$B$19:$N$41,3,0)/'4. Billing Determinants'!$D$41*$D11))))),0)</f>
        <v>0</v>
      </c>
      <c r="U11" s="75">
        <f>IFERROR(IF(U$4="",0,IF($E11="kWh",VLOOKUP(U$4,'4. Billing Determinants'!$B$19:$N$41,4,0)/'4. Billing Determinants'!$E$41*$D11,IF($E11="kW",VLOOKUP(U$4,'4. Billing Determinants'!$B$19:$N$41,5,0)/'4. Billing Determinants'!$F$41*$D11,IF($E11="Non-RPP kWh",VLOOKUP(U$4,'4. Billing Determinants'!$B$19:$N$41,6,0)/'4. Billing Determinants'!$G$41*$D11,IF($E11="Distribution Rev.",VLOOKUP(U$4,'4. Billing Determinants'!$B$19:$N$41,8,0)/'4. Billing Determinants'!$I$41*$D11, VLOOKUP(U$4,'4. Billing Determinants'!$B$19:$N$41,3,0)/'4. Billing Determinants'!$D$41*$D11))))),0)</f>
        <v>0</v>
      </c>
      <c r="V11" s="75">
        <f>IFERROR(IF(V$4="",0,IF($E11="kWh",VLOOKUP(V$4,'4. Billing Determinants'!$B$19:$N$41,4,0)/'4. Billing Determinants'!$E$41*$D11,IF($E11="kW",VLOOKUP(V$4,'4. Billing Determinants'!$B$19:$N$41,5,0)/'4. Billing Determinants'!$F$41*$D11,IF($E11="Non-RPP kWh",VLOOKUP(V$4,'4. Billing Determinants'!$B$19:$N$41,6,0)/'4. Billing Determinants'!$G$41*$D11,IF($E11="Distribution Rev.",VLOOKUP(V$4,'4. Billing Determinants'!$B$19:$N$41,8,0)/'4. Billing Determinants'!$I$41*$D11, VLOOKUP(V$4,'4. Billing Determinants'!$B$19:$N$41,3,0)/'4. Billing Determinants'!$D$41*$D11))))),0)</f>
        <v>0</v>
      </c>
      <c r="W11" s="75">
        <f>IFERROR(IF(W$4="",0,IF($E11="kWh",VLOOKUP(W$4,'4. Billing Determinants'!$B$19:$N$41,4,0)/'4. Billing Determinants'!$E$41*$D11,IF($E11="kW",VLOOKUP(W$4,'4. Billing Determinants'!$B$19:$N$41,5,0)/'4. Billing Determinants'!$F$41*$D11,IF($E11="Non-RPP kWh",VLOOKUP(W$4,'4. Billing Determinants'!$B$19:$N$41,6,0)/'4. Billing Determinants'!$G$41*$D11,IF($E11="Distribution Rev.",VLOOKUP(W$4,'4. Billing Determinants'!$B$19:$N$41,8,0)/'4. Billing Determinants'!$I$41*$D11, VLOOKUP(W$4,'4. Billing Determinants'!$B$19:$N$41,3,0)/'4. Billing Determinants'!$D$41*$D11))))),0)</f>
        <v>0</v>
      </c>
      <c r="X11" s="75">
        <f>IFERROR(IF(X$4="",0,IF($E11="kWh",VLOOKUP(X$4,'4. Billing Determinants'!$B$19:$N$41,4,0)/'4. Billing Determinants'!$E$41*$D11,IF($E11="kW",VLOOKUP(X$4,'4. Billing Determinants'!$B$19:$N$41,5,0)/'4. Billing Determinants'!$F$41*$D11,IF($E11="Non-RPP kWh",VLOOKUP(X$4,'4. Billing Determinants'!$B$19:$N$41,6,0)/'4. Billing Determinants'!$G$41*$D11,IF($E11="Distribution Rev.",VLOOKUP(X$4,'4. Billing Determinants'!$B$19:$N$41,8,0)/'4. Billing Determinants'!$I$41*$D11, VLOOKUP(X$4,'4. Billing Determinants'!$B$19:$N$41,3,0)/'4. Billing Determinants'!$D$41*$D11))))),0)</f>
        <v>0</v>
      </c>
      <c r="Y11" s="75">
        <f>IFERROR(IF(Y$4="",0,IF($E11="kWh",VLOOKUP(Y$4,'4. Billing Determinants'!$B$19:$N$41,4,0)/'4. Billing Determinants'!$E$41*$D11,IF($E11="kW",VLOOKUP(Y$4,'4. Billing Determinants'!$B$19:$N$41,5,0)/'4. Billing Determinants'!$F$41*$D11,IF($E11="Non-RPP kWh",VLOOKUP(Y$4,'4. Billing Determinants'!$B$19:$N$41,6,0)/'4. Billing Determinants'!$G$41*$D11,IF($E11="Distribution Rev.",VLOOKUP(Y$4,'4. Billing Determinants'!$B$19:$N$41,8,0)/'4. Billing Determinants'!$I$41*$D11, VLOOKUP(Y$4,'4. Billing Determinants'!$B$19:$N$41,3,0)/'4. Billing Determinants'!$D$41*$D11))))),0)</f>
        <v>0</v>
      </c>
    </row>
    <row r="12" spans="2:25" x14ac:dyDescent="0.2">
      <c r="B12" s="77" t="s">
        <v>149</v>
      </c>
      <c r="C12" s="74">
        <v>1595</v>
      </c>
      <c r="D12" s="75">
        <f>'2. 2013 Continuity Schedule'!CP31</f>
        <v>0</v>
      </c>
      <c r="E12" s="208"/>
      <c r="F12" s="75">
        <f>IFERROR(IF(F$4="",0,IF($E12="kWh",VLOOKUP(F$4,'4. Billing Determinants'!$B$19:$N$41,4,0)/'4. Billing Determinants'!$E$41*$D12,IF($E12="kW",VLOOKUP(F$4,'4. Billing Determinants'!$B$19:$N$41,5,0)/'4. Billing Determinants'!$F$41*$D12,IF($E12="Non-RPP kWh",VLOOKUP(F$4,'4. Billing Determinants'!$B$19:$N$41,6,0)/'4. Billing Determinants'!$G$41*$D12,IF($E12="Distribution Rev.",VLOOKUP(F$4,'4. Billing Determinants'!$B$19:$N$41,8,0)/'4. Billing Determinants'!$I$41*$D12, VLOOKUP(F$4,'4. Billing Determinants'!$B$19:$N$41,3,0)/'4. Billing Determinants'!$D$41*$D12))))),0)</f>
        <v>0</v>
      </c>
      <c r="G12" s="75">
        <f>IFERROR(IF(G$4="",0,IF($E12="kWh",VLOOKUP(G$4,'4. Billing Determinants'!$B$19:$N$41,4,0)/'4. Billing Determinants'!$E$41*$D12,IF($E12="kW",VLOOKUP(G$4,'4. Billing Determinants'!$B$19:$N$41,5,0)/'4. Billing Determinants'!$F$41*$D12,IF($E12="Non-RPP kWh",VLOOKUP(G$4,'4. Billing Determinants'!$B$19:$N$41,6,0)/'4. Billing Determinants'!$G$41*$D12,IF($E12="Distribution Rev.",VLOOKUP(G$4,'4. Billing Determinants'!$B$19:$N$41,8,0)/'4. Billing Determinants'!$I$41*$D12, VLOOKUP(G$4,'4. Billing Determinants'!$B$19:$N$41,3,0)/'4. Billing Determinants'!$D$41*$D12))))),0)</f>
        <v>0</v>
      </c>
      <c r="H12" s="75">
        <f>IFERROR(IF(H$4="",0,IF($E12="kWh",VLOOKUP(H$4,'4. Billing Determinants'!$B$19:$N$41,4,0)/'4. Billing Determinants'!$E$41*$D12,IF($E12="kW",VLOOKUP(H$4,'4. Billing Determinants'!$B$19:$N$41,5,0)/'4. Billing Determinants'!$F$41*$D12,IF($E12="Non-RPP kWh",VLOOKUP(H$4,'4. Billing Determinants'!$B$19:$N$41,6,0)/'4. Billing Determinants'!$G$41*$D12,IF($E12="Distribution Rev.",VLOOKUP(H$4,'4. Billing Determinants'!$B$19:$N$41,8,0)/'4. Billing Determinants'!$I$41*$D12, VLOOKUP(H$4,'4. Billing Determinants'!$B$19:$N$41,3,0)/'4. Billing Determinants'!$D$41*$D12))))),0)</f>
        <v>0</v>
      </c>
      <c r="I12" s="75">
        <f>IFERROR(IF(I$4="",0,IF($E12="kWh",VLOOKUP(I$4,'4. Billing Determinants'!$B$19:$N$41,4,0)/'4. Billing Determinants'!$E$41*$D12,IF($E12="kW",VLOOKUP(I$4,'4. Billing Determinants'!$B$19:$N$41,5,0)/'4. Billing Determinants'!$F$41*$D12,IF($E12="Non-RPP kWh",VLOOKUP(I$4,'4. Billing Determinants'!$B$19:$N$41,6,0)/'4. Billing Determinants'!$G$41*$D12,IF($E12="Distribution Rev.",VLOOKUP(I$4,'4. Billing Determinants'!$B$19:$N$41,8,0)/'4. Billing Determinants'!$I$41*$D12, VLOOKUP(I$4,'4. Billing Determinants'!$B$19:$N$41,3,0)/'4. Billing Determinants'!$D$41*$D12))))),0)</f>
        <v>0</v>
      </c>
      <c r="J12" s="75">
        <f>IFERROR(IF(J$4="",0,IF($E12="kWh",VLOOKUP(J$4,'4. Billing Determinants'!$B$19:$N$41,4,0)/'4. Billing Determinants'!$E$41*$D12,IF($E12="kW",VLOOKUP(J$4,'4. Billing Determinants'!$B$19:$N$41,5,0)/'4. Billing Determinants'!$F$41*$D12,IF($E12="Non-RPP kWh",VLOOKUP(J$4,'4. Billing Determinants'!$B$19:$N$41,6,0)/'4. Billing Determinants'!$G$41*$D12,IF($E12="Distribution Rev.",VLOOKUP(J$4,'4. Billing Determinants'!$B$19:$N$41,8,0)/'4. Billing Determinants'!$I$41*$D12, VLOOKUP(J$4,'4. Billing Determinants'!$B$19:$N$41,3,0)/'4. Billing Determinants'!$D$41*$D12))))),0)</f>
        <v>0</v>
      </c>
      <c r="K12" s="75">
        <f>IFERROR(IF(K$4="",0,IF($E12="kWh",VLOOKUP(K$4,'4. Billing Determinants'!$B$19:$N$41,4,0)/'4. Billing Determinants'!$E$41*$D12,IF($E12="kW",VLOOKUP(K$4,'4. Billing Determinants'!$B$19:$N$41,5,0)/'4. Billing Determinants'!$F$41*$D12,IF($E12="Non-RPP kWh",VLOOKUP(K$4,'4. Billing Determinants'!$B$19:$N$41,6,0)/'4. Billing Determinants'!$G$41*$D12,IF($E12="Distribution Rev.",VLOOKUP(K$4,'4. Billing Determinants'!$B$19:$N$41,8,0)/'4. Billing Determinants'!$I$41*$D12, VLOOKUP(K$4,'4. Billing Determinants'!$B$19:$N$41,3,0)/'4. Billing Determinants'!$D$41*$D12))))),0)</f>
        <v>0</v>
      </c>
      <c r="L12" s="75">
        <f>IFERROR(IF(L$4="",0,IF($E12="kWh",VLOOKUP(L$4,'4. Billing Determinants'!$B$19:$N$41,4,0)/'4. Billing Determinants'!$E$41*$D12,IF($E12="kW",VLOOKUP(L$4,'4. Billing Determinants'!$B$19:$N$41,5,0)/'4. Billing Determinants'!$F$41*$D12,IF($E12="Non-RPP kWh",VLOOKUP(L$4,'4. Billing Determinants'!$B$19:$N$41,6,0)/'4. Billing Determinants'!$G$41*$D12,IF($E12="Distribution Rev.",VLOOKUP(L$4,'4. Billing Determinants'!$B$19:$N$41,8,0)/'4. Billing Determinants'!$I$41*$D12, VLOOKUP(L$4,'4. Billing Determinants'!$B$19:$N$41,3,0)/'4. Billing Determinants'!$D$41*$D12))))),0)</f>
        <v>0</v>
      </c>
      <c r="M12" s="75">
        <f>IFERROR(IF(M$4="",0,IF($E12="kWh",VLOOKUP(M$4,'4. Billing Determinants'!$B$19:$N$41,4,0)/'4. Billing Determinants'!$E$41*$D12,IF($E12="kW",VLOOKUP(M$4,'4. Billing Determinants'!$B$19:$N$41,5,0)/'4. Billing Determinants'!$F$41*$D12,IF($E12="Non-RPP kWh",VLOOKUP(M$4,'4. Billing Determinants'!$B$19:$N$41,6,0)/'4. Billing Determinants'!$G$41*$D12,IF($E12="Distribution Rev.",VLOOKUP(M$4,'4. Billing Determinants'!$B$19:$N$41,8,0)/'4. Billing Determinants'!$I$41*$D12, VLOOKUP(M$4,'4. Billing Determinants'!$B$19:$N$41,3,0)/'4. Billing Determinants'!$D$41*$D12))))),0)</f>
        <v>0</v>
      </c>
      <c r="N12" s="75">
        <f>IFERROR(IF(N$4="",0,IF($E12="kWh",VLOOKUP(N$4,'4. Billing Determinants'!$B$19:$N$41,4,0)/'4. Billing Determinants'!$E$41*$D12,IF($E12="kW",VLOOKUP(N$4,'4. Billing Determinants'!$B$19:$N$41,5,0)/'4. Billing Determinants'!$F$41*$D12,IF($E12="Non-RPP kWh",VLOOKUP(N$4,'4. Billing Determinants'!$B$19:$N$41,6,0)/'4. Billing Determinants'!$G$41*$D12,IF($E12="Distribution Rev.",VLOOKUP(N$4,'4. Billing Determinants'!$B$19:$N$41,8,0)/'4. Billing Determinants'!$I$41*$D12, VLOOKUP(N$4,'4. Billing Determinants'!$B$19:$N$41,3,0)/'4. Billing Determinants'!$D$41*$D12))))),0)</f>
        <v>0</v>
      </c>
      <c r="O12" s="75">
        <f>IFERROR(IF(O$4="",0,IF($E12="kWh",VLOOKUP(O$4,'4. Billing Determinants'!$B$19:$N$41,4,0)/'4. Billing Determinants'!$E$41*$D12,IF($E12="kW",VLOOKUP(O$4,'4. Billing Determinants'!$B$19:$N$41,5,0)/'4. Billing Determinants'!$F$41*$D12,IF($E12="Non-RPP kWh",VLOOKUP(O$4,'4. Billing Determinants'!$B$19:$N$41,6,0)/'4. Billing Determinants'!$G$41*$D12,IF($E12="Distribution Rev.",VLOOKUP(O$4,'4. Billing Determinants'!$B$19:$N$41,8,0)/'4. Billing Determinants'!$I$41*$D12, VLOOKUP(O$4,'4. Billing Determinants'!$B$19:$N$41,3,0)/'4. Billing Determinants'!$D$41*$D12))))),0)</f>
        <v>0</v>
      </c>
      <c r="P12" s="75">
        <f>IFERROR(IF(P$4="",0,IF($E12="kWh",VLOOKUP(P$4,'4. Billing Determinants'!$B$19:$N$41,4,0)/'4. Billing Determinants'!$E$41*$D12,IF($E12="kW",VLOOKUP(P$4,'4. Billing Determinants'!$B$19:$N$41,5,0)/'4. Billing Determinants'!$F$41*$D12,IF($E12="Non-RPP kWh",VLOOKUP(P$4,'4. Billing Determinants'!$B$19:$N$41,6,0)/'4. Billing Determinants'!$G$41*$D12,IF($E12="Distribution Rev.",VLOOKUP(P$4,'4. Billing Determinants'!$B$19:$N$41,8,0)/'4. Billing Determinants'!$I$41*$D12, VLOOKUP(P$4,'4. Billing Determinants'!$B$19:$N$41,3,0)/'4. Billing Determinants'!$D$41*$D12))))),0)</f>
        <v>0</v>
      </c>
      <c r="Q12" s="75">
        <f>IFERROR(IF(Q$4="",0,IF($E12="kWh",VLOOKUP(Q$4,'4. Billing Determinants'!$B$19:$N$41,4,0)/'4. Billing Determinants'!$E$41*$D12,IF($E12="kW",VLOOKUP(Q$4,'4. Billing Determinants'!$B$19:$N$41,5,0)/'4. Billing Determinants'!$F$41*$D12,IF($E12="Non-RPP kWh",VLOOKUP(Q$4,'4. Billing Determinants'!$B$19:$N$41,6,0)/'4. Billing Determinants'!$G$41*$D12,IF($E12="Distribution Rev.",VLOOKUP(Q$4,'4. Billing Determinants'!$B$19:$N$41,8,0)/'4. Billing Determinants'!$I$41*$D12, VLOOKUP(Q$4,'4. Billing Determinants'!$B$19:$N$41,3,0)/'4. Billing Determinants'!$D$41*$D12))))),0)</f>
        <v>0</v>
      </c>
      <c r="R12" s="75">
        <f>IFERROR(IF(R$4="",0,IF($E12="kWh",VLOOKUP(R$4,'4. Billing Determinants'!$B$19:$N$41,4,0)/'4. Billing Determinants'!$E$41*$D12,IF($E12="kW",VLOOKUP(R$4,'4. Billing Determinants'!$B$19:$N$41,5,0)/'4. Billing Determinants'!$F$41*$D12,IF($E12="Non-RPP kWh",VLOOKUP(R$4,'4. Billing Determinants'!$B$19:$N$41,6,0)/'4. Billing Determinants'!$G$41*$D12,IF($E12="Distribution Rev.",VLOOKUP(R$4,'4. Billing Determinants'!$B$19:$N$41,8,0)/'4. Billing Determinants'!$I$41*$D12, VLOOKUP(R$4,'4. Billing Determinants'!$B$19:$N$41,3,0)/'4. Billing Determinants'!$D$41*$D12))))),0)</f>
        <v>0</v>
      </c>
      <c r="S12" s="75">
        <f>IFERROR(IF(S$4="",0,IF($E12="kWh",VLOOKUP(S$4,'4. Billing Determinants'!$B$19:$N$41,4,0)/'4. Billing Determinants'!$E$41*$D12,IF($E12="kW",VLOOKUP(S$4,'4. Billing Determinants'!$B$19:$N$41,5,0)/'4. Billing Determinants'!$F$41*$D12,IF($E12="Non-RPP kWh",VLOOKUP(S$4,'4. Billing Determinants'!$B$19:$N$41,6,0)/'4. Billing Determinants'!$G$41*$D12,IF($E12="Distribution Rev.",VLOOKUP(S$4,'4. Billing Determinants'!$B$19:$N$41,8,0)/'4. Billing Determinants'!$I$41*$D12, VLOOKUP(S$4,'4. Billing Determinants'!$B$19:$N$41,3,0)/'4. Billing Determinants'!$D$41*$D12))))),0)</f>
        <v>0</v>
      </c>
      <c r="T12" s="75">
        <f>IFERROR(IF(T$4="",0,IF($E12="kWh",VLOOKUP(T$4,'4. Billing Determinants'!$B$19:$N$41,4,0)/'4. Billing Determinants'!$E$41*$D12,IF($E12="kW",VLOOKUP(T$4,'4. Billing Determinants'!$B$19:$N$41,5,0)/'4. Billing Determinants'!$F$41*$D12,IF($E12="Non-RPP kWh",VLOOKUP(T$4,'4. Billing Determinants'!$B$19:$N$41,6,0)/'4. Billing Determinants'!$G$41*$D12,IF($E12="Distribution Rev.",VLOOKUP(T$4,'4. Billing Determinants'!$B$19:$N$41,8,0)/'4. Billing Determinants'!$I$41*$D12, VLOOKUP(T$4,'4. Billing Determinants'!$B$19:$N$41,3,0)/'4. Billing Determinants'!$D$41*$D12))))),0)</f>
        <v>0</v>
      </c>
      <c r="U12" s="75">
        <f>IFERROR(IF(U$4="",0,IF($E12="kWh",VLOOKUP(U$4,'4. Billing Determinants'!$B$19:$N$41,4,0)/'4. Billing Determinants'!$E$41*$D12,IF($E12="kW",VLOOKUP(U$4,'4. Billing Determinants'!$B$19:$N$41,5,0)/'4. Billing Determinants'!$F$41*$D12,IF($E12="Non-RPP kWh",VLOOKUP(U$4,'4. Billing Determinants'!$B$19:$N$41,6,0)/'4. Billing Determinants'!$G$41*$D12,IF($E12="Distribution Rev.",VLOOKUP(U$4,'4. Billing Determinants'!$B$19:$N$41,8,0)/'4. Billing Determinants'!$I$41*$D12, VLOOKUP(U$4,'4. Billing Determinants'!$B$19:$N$41,3,0)/'4. Billing Determinants'!$D$41*$D12))))),0)</f>
        <v>0</v>
      </c>
      <c r="V12" s="75">
        <f>IFERROR(IF(V$4="",0,IF($E12="kWh",VLOOKUP(V$4,'4. Billing Determinants'!$B$19:$N$41,4,0)/'4. Billing Determinants'!$E$41*$D12,IF($E12="kW",VLOOKUP(V$4,'4. Billing Determinants'!$B$19:$N$41,5,0)/'4. Billing Determinants'!$F$41*$D12,IF($E12="Non-RPP kWh",VLOOKUP(V$4,'4. Billing Determinants'!$B$19:$N$41,6,0)/'4. Billing Determinants'!$G$41*$D12,IF($E12="Distribution Rev.",VLOOKUP(V$4,'4. Billing Determinants'!$B$19:$N$41,8,0)/'4. Billing Determinants'!$I$41*$D12, VLOOKUP(V$4,'4. Billing Determinants'!$B$19:$N$41,3,0)/'4. Billing Determinants'!$D$41*$D12))))),0)</f>
        <v>0</v>
      </c>
      <c r="W12" s="75">
        <f>IFERROR(IF(W$4="",0,IF($E12="kWh",VLOOKUP(W$4,'4. Billing Determinants'!$B$19:$N$41,4,0)/'4. Billing Determinants'!$E$41*$D12,IF($E12="kW",VLOOKUP(W$4,'4. Billing Determinants'!$B$19:$N$41,5,0)/'4. Billing Determinants'!$F$41*$D12,IF($E12="Non-RPP kWh",VLOOKUP(W$4,'4. Billing Determinants'!$B$19:$N$41,6,0)/'4. Billing Determinants'!$G$41*$D12,IF($E12="Distribution Rev.",VLOOKUP(W$4,'4. Billing Determinants'!$B$19:$N$41,8,0)/'4. Billing Determinants'!$I$41*$D12, VLOOKUP(W$4,'4. Billing Determinants'!$B$19:$N$41,3,0)/'4. Billing Determinants'!$D$41*$D12))))),0)</f>
        <v>0</v>
      </c>
      <c r="X12" s="75">
        <f>IFERROR(IF(X$4="",0,IF($E12="kWh",VLOOKUP(X$4,'4. Billing Determinants'!$B$19:$N$41,4,0)/'4. Billing Determinants'!$E$41*$D12,IF($E12="kW",VLOOKUP(X$4,'4. Billing Determinants'!$B$19:$N$41,5,0)/'4. Billing Determinants'!$F$41*$D12,IF($E12="Non-RPP kWh",VLOOKUP(X$4,'4. Billing Determinants'!$B$19:$N$41,6,0)/'4. Billing Determinants'!$G$41*$D12,IF($E12="Distribution Rev.",VLOOKUP(X$4,'4. Billing Determinants'!$B$19:$N$41,8,0)/'4. Billing Determinants'!$I$41*$D12, VLOOKUP(X$4,'4. Billing Determinants'!$B$19:$N$41,3,0)/'4. Billing Determinants'!$D$41*$D12))))),0)</f>
        <v>0</v>
      </c>
      <c r="Y12" s="75">
        <f>IFERROR(IF(Y$4="",0,IF($E12="kWh",VLOOKUP(Y$4,'4. Billing Determinants'!$B$19:$N$41,4,0)/'4. Billing Determinants'!$E$41*$D12,IF($E12="kW",VLOOKUP(Y$4,'4. Billing Determinants'!$B$19:$N$41,5,0)/'4. Billing Determinants'!$F$41*$D12,IF($E12="Non-RPP kWh",VLOOKUP(Y$4,'4. Billing Determinants'!$B$19:$N$41,6,0)/'4. Billing Determinants'!$G$41*$D12,IF($E12="Distribution Rev.",VLOOKUP(Y$4,'4. Billing Determinants'!$B$19:$N$41,8,0)/'4. Billing Determinants'!$I$41*$D12, VLOOKUP(Y$4,'4. Billing Determinants'!$B$19:$N$41,3,0)/'4. Billing Determinants'!$D$41*$D12))))),0)</f>
        <v>0</v>
      </c>
    </row>
    <row r="13" spans="2:25" x14ac:dyDescent="0.2">
      <c r="B13" s="77" t="s">
        <v>150</v>
      </c>
      <c r="C13" s="74">
        <v>1595</v>
      </c>
      <c r="D13" s="75">
        <f>'2. 2013 Continuity Schedule'!CP32</f>
        <v>0</v>
      </c>
      <c r="E13" s="208"/>
      <c r="F13" s="75">
        <f>IFERROR(IF(F$4="",0,IF($E13="kWh",VLOOKUP(F$4,'4. Billing Determinants'!$B$19:$N$41,4,0)/'4. Billing Determinants'!$E$41*$D13,IF($E13="kW",VLOOKUP(F$4,'4. Billing Determinants'!$B$19:$N$41,5,0)/'4. Billing Determinants'!$F$41*$D13,IF($E13="Non-RPP kWh",VLOOKUP(F$4,'4. Billing Determinants'!$B$19:$N$41,6,0)/'4. Billing Determinants'!$G$41*$D13,IF($E13="Distribution Rev.",VLOOKUP(F$4,'4. Billing Determinants'!$B$19:$N$41,8,0)/'4. Billing Determinants'!$I$41*$D13, VLOOKUP(F$4,'4. Billing Determinants'!$B$19:$N$41,3,0)/'4. Billing Determinants'!$D$41*$D13))))),0)</f>
        <v>0</v>
      </c>
      <c r="G13" s="75">
        <f>IFERROR(IF(G$4="",0,IF($E13="kWh",VLOOKUP(G$4,'4. Billing Determinants'!$B$19:$N$41,4,0)/'4. Billing Determinants'!$E$41*$D13,IF($E13="kW",VLOOKUP(G$4,'4. Billing Determinants'!$B$19:$N$41,5,0)/'4. Billing Determinants'!$F$41*$D13,IF($E13="Non-RPP kWh",VLOOKUP(G$4,'4. Billing Determinants'!$B$19:$N$41,6,0)/'4. Billing Determinants'!$G$41*$D13,IF($E13="Distribution Rev.",VLOOKUP(G$4,'4. Billing Determinants'!$B$19:$N$41,8,0)/'4. Billing Determinants'!$I$41*$D13, VLOOKUP(G$4,'4. Billing Determinants'!$B$19:$N$41,3,0)/'4. Billing Determinants'!$D$41*$D13))))),0)</f>
        <v>0</v>
      </c>
      <c r="H13" s="75">
        <f>IFERROR(IF(H$4="",0,IF($E13="kWh",VLOOKUP(H$4,'4. Billing Determinants'!$B$19:$N$41,4,0)/'4. Billing Determinants'!$E$41*$D13,IF($E13="kW",VLOOKUP(H$4,'4. Billing Determinants'!$B$19:$N$41,5,0)/'4. Billing Determinants'!$F$41*$D13,IF($E13="Non-RPP kWh",VLOOKUP(H$4,'4. Billing Determinants'!$B$19:$N$41,6,0)/'4. Billing Determinants'!$G$41*$D13,IF($E13="Distribution Rev.",VLOOKUP(H$4,'4. Billing Determinants'!$B$19:$N$41,8,0)/'4. Billing Determinants'!$I$41*$D13, VLOOKUP(H$4,'4. Billing Determinants'!$B$19:$N$41,3,0)/'4. Billing Determinants'!$D$41*$D13))))),0)</f>
        <v>0</v>
      </c>
      <c r="I13" s="75">
        <f>IFERROR(IF(I$4="",0,IF($E13="kWh",VLOOKUP(I$4,'4. Billing Determinants'!$B$19:$N$41,4,0)/'4. Billing Determinants'!$E$41*$D13,IF($E13="kW",VLOOKUP(I$4,'4. Billing Determinants'!$B$19:$N$41,5,0)/'4. Billing Determinants'!$F$41*$D13,IF($E13="Non-RPP kWh",VLOOKUP(I$4,'4. Billing Determinants'!$B$19:$N$41,6,0)/'4. Billing Determinants'!$G$41*$D13,IF($E13="Distribution Rev.",VLOOKUP(I$4,'4. Billing Determinants'!$B$19:$N$41,8,0)/'4. Billing Determinants'!$I$41*$D13, VLOOKUP(I$4,'4. Billing Determinants'!$B$19:$N$41,3,0)/'4. Billing Determinants'!$D$41*$D13))))),0)</f>
        <v>0</v>
      </c>
      <c r="J13" s="75">
        <f>IFERROR(IF(J$4="",0,IF($E13="kWh",VLOOKUP(J$4,'4. Billing Determinants'!$B$19:$N$41,4,0)/'4. Billing Determinants'!$E$41*$D13,IF($E13="kW",VLOOKUP(J$4,'4. Billing Determinants'!$B$19:$N$41,5,0)/'4. Billing Determinants'!$F$41*$D13,IF($E13="Non-RPP kWh",VLOOKUP(J$4,'4. Billing Determinants'!$B$19:$N$41,6,0)/'4. Billing Determinants'!$G$41*$D13,IF($E13="Distribution Rev.",VLOOKUP(J$4,'4. Billing Determinants'!$B$19:$N$41,8,0)/'4. Billing Determinants'!$I$41*$D13, VLOOKUP(J$4,'4. Billing Determinants'!$B$19:$N$41,3,0)/'4. Billing Determinants'!$D$41*$D13))))),0)</f>
        <v>0</v>
      </c>
      <c r="K13" s="75">
        <f>IFERROR(IF(K$4="",0,IF($E13="kWh",VLOOKUP(K$4,'4. Billing Determinants'!$B$19:$N$41,4,0)/'4. Billing Determinants'!$E$41*$D13,IF($E13="kW",VLOOKUP(K$4,'4. Billing Determinants'!$B$19:$N$41,5,0)/'4. Billing Determinants'!$F$41*$D13,IF($E13="Non-RPP kWh",VLOOKUP(K$4,'4. Billing Determinants'!$B$19:$N$41,6,0)/'4. Billing Determinants'!$G$41*$D13,IF($E13="Distribution Rev.",VLOOKUP(K$4,'4. Billing Determinants'!$B$19:$N$41,8,0)/'4. Billing Determinants'!$I$41*$D13, VLOOKUP(K$4,'4. Billing Determinants'!$B$19:$N$41,3,0)/'4. Billing Determinants'!$D$41*$D13))))),0)</f>
        <v>0</v>
      </c>
      <c r="L13" s="75">
        <f>IFERROR(IF(L$4="",0,IF($E13="kWh",VLOOKUP(L$4,'4. Billing Determinants'!$B$19:$N$41,4,0)/'4. Billing Determinants'!$E$41*$D13,IF($E13="kW",VLOOKUP(L$4,'4. Billing Determinants'!$B$19:$N$41,5,0)/'4. Billing Determinants'!$F$41*$D13,IF($E13="Non-RPP kWh",VLOOKUP(L$4,'4. Billing Determinants'!$B$19:$N$41,6,0)/'4. Billing Determinants'!$G$41*$D13,IF($E13="Distribution Rev.",VLOOKUP(L$4,'4. Billing Determinants'!$B$19:$N$41,8,0)/'4. Billing Determinants'!$I$41*$D13, VLOOKUP(L$4,'4. Billing Determinants'!$B$19:$N$41,3,0)/'4. Billing Determinants'!$D$41*$D13))))),0)</f>
        <v>0</v>
      </c>
      <c r="M13" s="75">
        <f>IFERROR(IF(M$4="",0,IF($E13="kWh",VLOOKUP(M$4,'4. Billing Determinants'!$B$19:$N$41,4,0)/'4. Billing Determinants'!$E$41*$D13,IF($E13="kW",VLOOKUP(M$4,'4. Billing Determinants'!$B$19:$N$41,5,0)/'4. Billing Determinants'!$F$41*$D13,IF($E13="Non-RPP kWh",VLOOKUP(M$4,'4. Billing Determinants'!$B$19:$N$41,6,0)/'4. Billing Determinants'!$G$41*$D13,IF($E13="Distribution Rev.",VLOOKUP(M$4,'4. Billing Determinants'!$B$19:$N$41,8,0)/'4. Billing Determinants'!$I$41*$D13, VLOOKUP(M$4,'4. Billing Determinants'!$B$19:$N$41,3,0)/'4. Billing Determinants'!$D$41*$D13))))),0)</f>
        <v>0</v>
      </c>
      <c r="N13" s="75">
        <f>IFERROR(IF(N$4="",0,IF($E13="kWh",VLOOKUP(N$4,'4. Billing Determinants'!$B$19:$N$41,4,0)/'4. Billing Determinants'!$E$41*$D13,IF($E13="kW",VLOOKUP(N$4,'4. Billing Determinants'!$B$19:$N$41,5,0)/'4. Billing Determinants'!$F$41*$D13,IF($E13="Non-RPP kWh",VLOOKUP(N$4,'4. Billing Determinants'!$B$19:$N$41,6,0)/'4. Billing Determinants'!$G$41*$D13,IF($E13="Distribution Rev.",VLOOKUP(N$4,'4. Billing Determinants'!$B$19:$N$41,8,0)/'4. Billing Determinants'!$I$41*$D13, VLOOKUP(N$4,'4. Billing Determinants'!$B$19:$N$41,3,0)/'4. Billing Determinants'!$D$41*$D13))))),0)</f>
        <v>0</v>
      </c>
      <c r="O13" s="75">
        <f>IFERROR(IF(O$4="",0,IF($E13="kWh",VLOOKUP(O$4,'4. Billing Determinants'!$B$19:$N$41,4,0)/'4. Billing Determinants'!$E$41*$D13,IF($E13="kW",VLOOKUP(O$4,'4. Billing Determinants'!$B$19:$N$41,5,0)/'4. Billing Determinants'!$F$41*$D13,IF($E13="Non-RPP kWh",VLOOKUP(O$4,'4. Billing Determinants'!$B$19:$N$41,6,0)/'4. Billing Determinants'!$G$41*$D13,IF($E13="Distribution Rev.",VLOOKUP(O$4,'4. Billing Determinants'!$B$19:$N$41,8,0)/'4. Billing Determinants'!$I$41*$D13, VLOOKUP(O$4,'4. Billing Determinants'!$B$19:$N$41,3,0)/'4. Billing Determinants'!$D$41*$D13))))),0)</f>
        <v>0</v>
      </c>
      <c r="P13" s="75">
        <f>IFERROR(IF(P$4="",0,IF($E13="kWh",VLOOKUP(P$4,'4. Billing Determinants'!$B$19:$N$41,4,0)/'4. Billing Determinants'!$E$41*$D13,IF($E13="kW",VLOOKUP(P$4,'4. Billing Determinants'!$B$19:$N$41,5,0)/'4. Billing Determinants'!$F$41*$D13,IF($E13="Non-RPP kWh",VLOOKUP(P$4,'4. Billing Determinants'!$B$19:$N$41,6,0)/'4. Billing Determinants'!$G$41*$D13,IF($E13="Distribution Rev.",VLOOKUP(P$4,'4. Billing Determinants'!$B$19:$N$41,8,0)/'4. Billing Determinants'!$I$41*$D13, VLOOKUP(P$4,'4. Billing Determinants'!$B$19:$N$41,3,0)/'4. Billing Determinants'!$D$41*$D13))))),0)</f>
        <v>0</v>
      </c>
      <c r="Q13" s="75">
        <f>IFERROR(IF(Q$4="",0,IF($E13="kWh",VLOOKUP(Q$4,'4. Billing Determinants'!$B$19:$N$41,4,0)/'4. Billing Determinants'!$E$41*$D13,IF($E13="kW",VLOOKUP(Q$4,'4. Billing Determinants'!$B$19:$N$41,5,0)/'4. Billing Determinants'!$F$41*$D13,IF($E13="Non-RPP kWh",VLOOKUP(Q$4,'4. Billing Determinants'!$B$19:$N$41,6,0)/'4. Billing Determinants'!$G$41*$D13,IF($E13="Distribution Rev.",VLOOKUP(Q$4,'4. Billing Determinants'!$B$19:$N$41,8,0)/'4. Billing Determinants'!$I$41*$D13, VLOOKUP(Q$4,'4. Billing Determinants'!$B$19:$N$41,3,0)/'4. Billing Determinants'!$D$41*$D13))))),0)</f>
        <v>0</v>
      </c>
      <c r="R13" s="75">
        <f>IFERROR(IF(R$4="",0,IF($E13="kWh",VLOOKUP(R$4,'4. Billing Determinants'!$B$19:$N$41,4,0)/'4. Billing Determinants'!$E$41*$D13,IF($E13="kW",VLOOKUP(R$4,'4. Billing Determinants'!$B$19:$N$41,5,0)/'4. Billing Determinants'!$F$41*$D13,IF($E13="Non-RPP kWh",VLOOKUP(R$4,'4. Billing Determinants'!$B$19:$N$41,6,0)/'4. Billing Determinants'!$G$41*$D13,IF($E13="Distribution Rev.",VLOOKUP(R$4,'4. Billing Determinants'!$B$19:$N$41,8,0)/'4. Billing Determinants'!$I$41*$D13, VLOOKUP(R$4,'4. Billing Determinants'!$B$19:$N$41,3,0)/'4. Billing Determinants'!$D$41*$D13))))),0)</f>
        <v>0</v>
      </c>
      <c r="S13" s="75">
        <f>IFERROR(IF(S$4="",0,IF($E13="kWh",VLOOKUP(S$4,'4. Billing Determinants'!$B$19:$N$41,4,0)/'4. Billing Determinants'!$E$41*$D13,IF($E13="kW",VLOOKUP(S$4,'4. Billing Determinants'!$B$19:$N$41,5,0)/'4. Billing Determinants'!$F$41*$D13,IF($E13="Non-RPP kWh",VLOOKUP(S$4,'4. Billing Determinants'!$B$19:$N$41,6,0)/'4. Billing Determinants'!$G$41*$D13,IF($E13="Distribution Rev.",VLOOKUP(S$4,'4. Billing Determinants'!$B$19:$N$41,8,0)/'4. Billing Determinants'!$I$41*$D13, VLOOKUP(S$4,'4. Billing Determinants'!$B$19:$N$41,3,0)/'4. Billing Determinants'!$D$41*$D13))))),0)</f>
        <v>0</v>
      </c>
      <c r="T13" s="75">
        <f>IFERROR(IF(T$4="",0,IF($E13="kWh",VLOOKUP(T$4,'4. Billing Determinants'!$B$19:$N$41,4,0)/'4. Billing Determinants'!$E$41*$D13,IF($E13="kW",VLOOKUP(T$4,'4. Billing Determinants'!$B$19:$N$41,5,0)/'4. Billing Determinants'!$F$41*$D13,IF($E13="Non-RPP kWh",VLOOKUP(T$4,'4. Billing Determinants'!$B$19:$N$41,6,0)/'4. Billing Determinants'!$G$41*$D13,IF($E13="Distribution Rev.",VLOOKUP(T$4,'4. Billing Determinants'!$B$19:$N$41,8,0)/'4. Billing Determinants'!$I$41*$D13, VLOOKUP(T$4,'4. Billing Determinants'!$B$19:$N$41,3,0)/'4. Billing Determinants'!$D$41*$D13))))),0)</f>
        <v>0</v>
      </c>
      <c r="U13" s="75">
        <f>IFERROR(IF(U$4="",0,IF($E13="kWh",VLOOKUP(U$4,'4. Billing Determinants'!$B$19:$N$41,4,0)/'4. Billing Determinants'!$E$41*$D13,IF($E13="kW",VLOOKUP(U$4,'4. Billing Determinants'!$B$19:$N$41,5,0)/'4. Billing Determinants'!$F$41*$D13,IF($E13="Non-RPP kWh",VLOOKUP(U$4,'4. Billing Determinants'!$B$19:$N$41,6,0)/'4. Billing Determinants'!$G$41*$D13,IF($E13="Distribution Rev.",VLOOKUP(U$4,'4. Billing Determinants'!$B$19:$N$41,8,0)/'4. Billing Determinants'!$I$41*$D13, VLOOKUP(U$4,'4. Billing Determinants'!$B$19:$N$41,3,0)/'4. Billing Determinants'!$D$41*$D13))))),0)</f>
        <v>0</v>
      </c>
      <c r="V13" s="75">
        <f>IFERROR(IF(V$4="",0,IF($E13="kWh",VLOOKUP(V$4,'4. Billing Determinants'!$B$19:$N$41,4,0)/'4. Billing Determinants'!$E$41*$D13,IF($E13="kW",VLOOKUP(V$4,'4. Billing Determinants'!$B$19:$N$41,5,0)/'4. Billing Determinants'!$F$41*$D13,IF($E13="Non-RPP kWh",VLOOKUP(V$4,'4. Billing Determinants'!$B$19:$N$41,6,0)/'4. Billing Determinants'!$G$41*$D13,IF($E13="Distribution Rev.",VLOOKUP(V$4,'4. Billing Determinants'!$B$19:$N$41,8,0)/'4. Billing Determinants'!$I$41*$D13, VLOOKUP(V$4,'4. Billing Determinants'!$B$19:$N$41,3,0)/'4. Billing Determinants'!$D$41*$D13))))),0)</f>
        <v>0</v>
      </c>
      <c r="W13" s="75">
        <f>IFERROR(IF(W$4="",0,IF($E13="kWh",VLOOKUP(W$4,'4. Billing Determinants'!$B$19:$N$41,4,0)/'4. Billing Determinants'!$E$41*$D13,IF($E13="kW",VLOOKUP(W$4,'4. Billing Determinants'!$B$19:$N$41,5,0)/'4. Billing Determinants'!$F$41*$D13,IF($E13="Non-RPP kWh",VLOOKUP(W$4,'4. Billing Determinants'!$B$19:$N$41,6,0)/'4. Billing Determinants'!$G$41*$D13,IF($E13="Distribution Rev.",VLOOKUP(W$4,'4. Billing Determinants'!$B$19:$N$41,8,0)/'4. Billing Determinants'!$I$41*$D13, VLOOKUP(W$4,'4. Billing Determinants'!$B$19:$N$41,3,0)/'4. Billing Determinants'!$D$41*$D13))))),0)</f>
        <v>0</v>
      </c>
      <c r="X13" s="75">
        <f>IFERROR(IF(X$4="",0,IF($E13="kWh",VLOOKUP(X$4,'4. Billing Determinants'!$B$19:$N$41,4,0)/'4. Billing Determinants'!$E$41*$D13,IF($E13="kW",VLOOKUP(X$4,'4. Billing Determinants'!$B$19:$N$41,5,0)/'4. Billing Determinants'!$F$41*$D13,IF($E13="Non-RPP kWh",VLOOKUP(X$4,'4. Billing Determinants'!$B$19:$N$41,6,0)/'4. Billing Determinants'!$G$41*$D13,IF($E13="Distribution Rev.",VLOOKUP(X$4,'4. Billing Determinants'!$B$19:$N$41,8,0)/'4. Billing Determinants'!$I$41*$D13, VLOOKUP(X$4,'4. Billing Determinants'!$B$19:$N$41,3,0)/'4. Billing Determinants'!$D$41*$D13))))),0)</f>
        <v>0</v>
      </c>
      <c r="Y13" s="75">
        <f>IFERROR(IF(Y$4="",0,IF($E13="kWh",VLOOKUP(Y$4,'4. Billing Determinants'!$B$19:$N$41,4,0)/'4. Billing Determinants'!$E$41*$D13,IF($E13="kW",VLOOKUP(Y$4,'4. Billing Determinants'!$B$19:$N$41,5,0)/'4. Billing Determinants'!$F$41*$D13,IF($E13="Non-RPP kWh",VLOOKUP(Y$4,'4. Billing Determinants'!$B$19:$N$41,6,0)/'4. Billing Determinants'!$G$41*$D13,IF($E13="Distribution Rev.",VLOOKUP(Y$4,'4. Billing Determinants'!$B$19:$N$41,8,0)/'4. Billing Determinants'!$I$41*$D13, VLOOKUP(Y$4,'4. Billing Determinants'!$B$19:$N$41,3,0)/'4. Billing Determinants'!$D$41*$D13))))),0)</f>
        <v>0</v>
      </c>
    </row>
    <row r="14" spans="2:25" x14ac:dyDescent="0.2">
      <c r="B14" s="77" t="s">
        <v>151</v>
      </c>
      <c r="C14" s="74">
        <v>1595</v>
      </c>
      <c r="D14" s="75">
        <f>'2. 2013 Continuity Schedule'!CP33</f>
        <v>0</v>
      </c>
      <c r="E14" s="208" t="s">
        <v>306</v>
      </c>
      <c r="F14" s="75">
        <f>IFERROR(IF(F$4="",0,IF($E14="kWh",VLOOKUP(F$4,'4. Billing Determinants'!$B$19:$N$41,4,0)/'4. Billing Determinants'!$E$41*$D14,IF($E14="kW",VLOOKUP(F$4,'4. Billing Determinants'!$B$19:$N$41,5,0)/'4. Billing Determinants'!$F$41*$D14,IF($E14="Non-RPP kWh",VLOOKUP(F$4,'4. Billing Determinants'!$B$19:$N$41,6,0)/'4. Billing Determinants'!$G$41*$D14,IF($E14="Distribution Rev.",VLOOKUP(F$4,'4. Billing Determinants'!$B$19:$N$41,8,0)/'4. Billing Determinants'!$I$41*$D14, VLOOKUP(F$4,'4. Billing Determinants'!$B$19:$N$41,3,0)/'4. Billing Determinants'!$D$41*$D14))))),0)</f>
        <v>0</v>
      </c>
      <c r="G14" s="75">
        <f>IFERROR(IF(G$4="",0,IF($E14="kWh",VLOOKUP(G$4,'4. Billing Determinants'!$B$19:$N$41,4,0)/'4. Billing Determinants'!$E$41*$D14,IF($E14="kW",VLOOKUP(G$4,'4. Billing Determinants'!$B$19:$N$41,5,0)/'4. Billing Determinants'!$F$41*$D14,IF($E14="Non-RPP kWh",VLOOKUP(G$4,'4. Billing Determinants'!$B$19:$N$41,6,0)/'4. Billing Determinants'!$G$41*$D14,IF($E14="Distribution Rev.",VLOOKUP(G$4,'4. Billing Determinants'!$B$19:$N$41,8,0)/'4. Billing Determinants'!$I$41*$D14, VLOOKUP(G$4,'4. Billing Determinants'!$B$19:$N$41,3,0)/'4. Billing Determinants'!$D$41*$D14))))),0)</f>
        <v>0</v>
      </c>
      <c r="H14" s="75">
        <f>IFERROR(IF(H$4="",0,IF($E14="kWh",VLOOKUP(H$4,'4. Billing Determinants'!$B$19:$N$41,4,0)/'4. Billing Determinants'!$E$41*$D14,IF($E14="kW",VLOOKUP(H$4,'4. Billing Determinants'!$B$19:$N$41,5,0)/'4. Billing Determinants'!$F$41*$D14,IF($E14="Non-RPP kWh",VLOOKUP(H$4,'4. Billing Determinants'!$B$19:$N$41,6,0)/'4. Billing Determinants'!$G$41*$D14,IF($E14="Distribution Rev.",VLOOKUP(H$4,'4. Billing Determinants'!$B$19:$N$41,8,0)/'4. Billing Determinants'!$I$41*$D14, VLOOKUP(H$4,'4. Billing Determinants'!$B$19:$N$41,3,0)/'4. Billing Determinants'!$D$41*$D14))))),0)</f>
        <v>0</v>
      </c>
      <c r="I14" s="75">
        <f>IFERROR(IF(I$4="",0,IF($E14="kWh",VLOOKUP(I$4,'4. Billing Determinants'!$B$19:$N$41,4,0)/'4. Billing Determinants'!$E$41*$D14,IF($E14="kW",VLOOKUP(I$4,'4. Billing Determinants'!$B$19:$N$41,5,0)/'4. Billing Determinants'!$F$41*$D14,IF($E14="Non-RPP kWh",VLOOKUP(I$4,'4. Billing Determinants'!$B$19:$N$41,6,0)/'4. Billing Determinants'!$G$41*$D14,IF($E14="Distribution Rev.",VLOOKUP(I$4,'4. Billing Determinants'!$B$19:$N$41,8,0)/'4. Billing Determinants'!$I$41*$D14, VLOOKUP(I$4,'4. Billing Determinants'!$B$19:$N$41,3,0)/'4. Billing Determinants'!$D$41*$D14))))),0)</f>
        <v>0</v>
      </c>
      <c r="J14" s="75">
        <f>IFERROR(IF(J$4="",0,IF($E14="kWh",VLOOKUP(J$4,'4. Billing Determinants'!$B$19:$N$41,4,0)/'4. Billing Determinants'!$E$41*$D14,IF($E14="kW",VLOOKUP(J$4,'4. Billing Determinants'!$B$19:$N$41,5,0)/'4. Billing Determinants'!$F$41*$D14,IF($E14="Non-RPP kWh",VLOOKUP(J$4,'4. Billing Determinants'!$B$19:$N$41,6,0)/'4. Billing Determinants'!$G$41*$D14,IF($E14="Distribution Rev.",VLOOKUP(J$4,'4. Billing Determinants'!$B$19:$N$41,8,0)/'4. Billing Determinants'!$I$41*$D14, VLOOKUP(J$4,'4. Billing Determinants'!$B$19:$N$41,3,0)/'4. Billing Determinants'!$D$41*$D14))))),0)</f>
        <v>0</v>
      </c>
      <c r="K14" s="75">
        <f>IFERROR(IF(K$4="",0,IF($E14="kWh",VLOOKUP(K$4,'4. Billing Determinants'!$B$19:$N$41,4,0)/'4. Billing Determinants'!$E$41*$D14,IF($E14="kW",VLOOKUP(K$4,'4. Billing Determinants'!$B$19:$N$41,5,0)/'4. Billing Determinants'!$F$41*$D14,IF($E14="Non-RPP kWh",VLOOKUP(K$4,'4. Billing Determinants'!$B$19:$N$41,6,0)/'4. Billing Determinants'!$G$41*$D14,IF($E14="Distribution Rev.",VLOOKUP(K$4,'4. Billing Determinants'!$B$19:$N$41,8,0)/'4. Billing Determinants'!$I$41*$D14, VLOOKUP(K$4,'4. Billing Determinants'!$B$19:$N$41,3,0)/'4. Billing Determinants'!$D$41*$D14))))),0)</f>
        <v>0</v>
      </c>
      <c r="L14" s="75">
        <f>IFERROR(IF(L$4="",0,IF($E14="kWh",VLOOKUP(L$4,'4. Billing Determinants'!$B$19:$N$41,4,0)/'4. Billing Determinants'!$E$41*$D14,IF($E14="kW",VLOOKUP(L$4,'4. Billing Determinants'!$B$19:$N$41,5,0)/'4. Billing Determinants'!$F$41*$D14,IF($E14="Non-RPP kWh",VLOOKUP(L$4,'4. Billing Determinants'!$B$19:$N$41,6,0)/'4. Billing Determinants'!$G$41*$D14,IF($E14="Distribution Rev.",VLOOKUP(L$4,'4. Billing Determinants'!$B$19:$N$41,8,0)/'4. Billing Determinants'!$I$41*$D14, VLOOKUP(L$4,'4. Billing Determinants'!$B$19:$N$41,3,0)/'4. Billing Determinants'!$D$41*$D14))))),0)</f>
        <v>0</v>
      </c>
      <c r="M14" s="75">
        <f>IFERROR(IF(M$4="",0,IF($E14="kWh",VLOOKUP(M$4,'4. Billing Determinants'!$B$19:$N$41,4,0)/'4. Billing Determinants'!$E$41*$D14,IF($E14="kW",VLOOKUP(M$4,'4. Billing Determinants'!$B$19:$N$41,5,0)/'4. Billing Determinants'!$F$41*$D14,IF($E14="Non-RPP kWh",VLOOKUP(M$4,'4. Billing Determinants'!$B$19:$N$41,6,0)/'4. Billing Determinants'!$G$41*$D14,IF($E14="Distribution Rev.",VLOOKUP(M$4,'4. Billing Determinants'!$B$19:$N$41,8,0)/'4. Billing Determinants'!$I$41*$D14, VLOOKUP(M$4,'4. Billing Determinants'!$B$19:$N$41,3,0)/'4. Billing Determinants'!$D$41*$D14))))),0)</f>
        <v>0</v>
      </c>
      <c r="N14" s="75">
        <f>IFERROR(IF(N$4="",0,IF($E14="kWh",VLOOKUP(N$4,'4. Billing Determinants'!$B$19:$N$41,4,0)/'4. Billing Determinants'!$E$41*$D14,IF($E14="kW",VLOOKUP(N$4,'4. Billing Determinants'!$B$19:$N$41,5,0)/'4. Billing Determinants'!$F$41*$D14,IF($E14="Non-RPP kWh",VLOOKUP(N$4,'4. Billing Determinants'!$B$19:$N$41,6,0)/'4. Billing Determinants'!$G$41*$D14,IF($E14="Distribution Rev.",VLOOKUP(N$4,'4. Billing Determinants'!$B$19:$N$41,8,0)/'4. Billing Determinants'!$I$41*$D14, VLOOKUP(N$4,'4. Billing Determinants'!$B$19:$N$41,3,0)/'4. Billing Determinants'!$D$41*$D14))))),0)</f>
        <v>0</v>
      </c>
      <c r="O14" s="75">
        <f>IFERROR(IF(O$4="",0,IF($E14="kWh",VLOOKUP(O$4,'4. Billing Determinants'!$B$19:$N$41,4,0)/'4. Billing Determinants'!$E$41*$D14,IF($E14="kW",VLOOKUP(O$4,'4. Billing Determinants'!$B$19:$N$41,5,0)/'4. Billing Determinants'!$F$41*$D14,IF($E14="Non-RPP kWh",VLOOKUP(O$4,'4. Billing Determinants'!$B$19:$N$41,6,0)/'4. Billing Determinants'!$G$41*$D14,IF($E14="Distribution Rev.",VLOOKUP(O$4,'4. Billing Determinants'!$B$19:$N$41,8,0)/'4. Billing Determinants'!$I$41*$D14, VLOOKUP(O$4,'4. Billing Determinants'!$B$19:$N$41,3,0)/'4. Billing Determinants'!$D$41*$D14))))),0)</f>
        <v>0</v>
      </c>
      <c r="P14" s="75">
        <f>IFERROR(IF(P$4="",0,IF($E14="kWh",VLOOKUP(P$4,'4. Billing Determinants'!$B$19:$N$41,4,0)/'4. Billing Determinants'!$E$41*$D14,IF($E14="kW",VLOOKUP(P$4,'4. Billing Determinants'!$B$19:$N$41,5,0)/'4. Billing Determinants'!$F$41*$D14,IF($E14="Non-RPP kWh",VLOOKUP(P$4,'4. Billing Determinants'!$B$19:$N$41,6,0)/'4. Billing Determinants'!$G$41*$D14,IF($E14="Distribution Rev.",VLOOKUP(P$4,'4. Billing Determinants'!$B$19:$N$41,8,0)/'4. Billing Determinants'!$I$41*$D14, VLOOKUP(P$4,'4. Billing Determinants'!$B$19:$N$41,3,0)/'4. Billing Determinants'!$D$41*$D14))))),0)</f>
        <v>0</v>
      </c>
      <c r="Q14" s="75">
        <f>IFERROR(IF(Q$4="",0,IF($E14="kWh",VLOOKUP(Q$4,'4. Billing Determinants'!$B$19:$N$41,4,0)/'4. Billing Determinants'!$E$41*$D14,IF($E14="kW",VLOOKUP(Q$4,'4. Billing Determinants'!$B$19:$N$41,5,0)/'4. Billing Determinants'!$F$41*$D14,IF($E14="Non-RPP kWh",VLOOKUP(Q$4,'4. Billing Determinants'!$B$19:$N$41,6,0)/'4. Billing Determinants'!$G$41*$D14,IF($E14="Distribution Rev.",VLOOKUP(Q$4,'4. Billing Determinants'!$B$19:$N$41,8,0)/'4. Billing Determinants'!$I$41*$D14, VLOOKUP(Q$4,'4. Billing Determinants'!$B$19:$N$41,3,0)/'4. Billing Determinants'!$D$41*$D14))))),0)</f>
        <v>0</v>
      </c>
      <c r="R14" s="75">
        <f>IFERROR(IF(R$4="",0,IF($E14="kWh",VLOOKUP(R$4,'4. Billing Determinants'!$B$19:$N$41,4,0)/'4. Billing Determinants'!$E$41*$D14,IF($E14="kW",VLOOKUP(R$4,'4. Billing Determinants'!$B$19:$N$41,5,0)/'4. Billing Determinants'!$F$41*$D14,IF($E14="Non-RPP kWh",VLOOKUP(R$4,'4. Billing Determinants'!$B$19:$N$41,6,0)/'4. Billing Determinants'!$G$41*$D14,IF($E14="Distribution Rev.",VLOOKUP(R$4,'4. Billing Determinants'!$B$19:$N$41,8,0)/'4. Billing Determinants'!$I$41*$D14, VLOOKUP(R$4,'4. Billing Determinants'!$B$19:$N$41,3,0)/'4. Billing Determinants'!$D$41*$D14))))),0)</f>
        <v>0</v>
      </c>
      <c r="S14" s="75">
        <f>IFERROR(IF(S$4="",0,IF($E14="kWh",VLOOKUP(S$4,'4. Billing Determinants'!$B$19:$N$41,4,0)/'4. Billing Determinants'!$E$41*$D14,IF($E14="kW",VLOOKUP(S$4,'4. Billing Determinants'!$B$19:$N$41,5,0)/'4. Billing Determinants'!$F$41*$D14,IF($E14="Non-RPP kWh",VLOOKUP(S$4,'4. Billing Determinants'!$B$19:$N$41,6,0)/'4. Billing Determinants'!$G$41*$D14,IF($E14="Distribution Rev.",VLOOKUP(S$4,'4. Billing Determinants'!$B$19:$N$41,8,0)/'4. Billing Determinants'!$I$41*$D14, VLOOKUP(S$4,'4. Billing Determinants'!$B$19:$N$41,3,0)/'4. Billing Determinants'!$D$41*$D14))))),0)</f>
        <v>0</v>
      </c>
      <c r="T14" s="75">
        <f>IFERROR(IF(T$4="",0,IF($E14="kWh",VLOOKUP(T$4,'4. Billing Determinants'!$B$19:$N$41,4,0)/'4. Billing Determinants'!$E$41*$D14,IF($E14="kW",VLOOKUP(T$4,'4. Billing Determinants'!$B$19:$N$41,5,0)/'4. Billing Determinants'!$F$41*$D14,IF($E14="Non-RPP kWh",VLOOKUP(T$4,'4. Billing Determinants'!$B$19:$N$41,6,0)/'4. Billing Determinants'!$G$41*$D14,IF($E14="Distribution Rev.",VLOOKUP(T$4,'4. Billing Determinants'!$B$19:$N$41,8,0)/'4. Billing Determinants'!$I$41*$D14, VLOOKUP(T$4,'4. Billing Determinants'!$B$19:$N$41,3,0)/'4. Billing Determinants'!$D$41*$D14))))),0)</f>
        <v>0</v>
      </c>
      <c r="U14" s="75">
        <f>IFERROR(IF(U$4="",0,IF($E14="kWh",VLOOKUP(U$4,'4. Billing Determinants'!$B$19:$N$41,4,0)/'4. Billing Determinants'!$E$41*$D14,IF($E14="kW",VLOOKUP(U$4,'4. Billing Determinants'!$B$19:$N$41,5,0)/'4. Billing Determinants'!$F$41*$D14,IF($E14="Non-RPP kWh",VLOOKUP(U$4,'4. Billing Determinants'!$B$19:$N$41,6,0)/'4. Billing Determinants'!$G$41*$D14,IF($E14="Distribution Rev.",VLOOKUP(U$4,'4. Billing Determinants'!$B$19:$N$41,8,0)/'4. Billing Determinants'!$I$41*$D14, VLOOKUP(U$4,'4. Billing Determinants'!$B$19:$N$41,3,0)/'4. Billing Determinants'!$D$41*$D14))))),0)</f>
        <v>0</v>
      </c>
      <c r="V14" s="75">
        <f>IFERROR(IF(V$4="",0,IF($E14="kWh",VLOOKUP(V$4,'4. Billing Determinants'!$B$19:$N$41,4,0)/'4. Billing Determinants'!$E$41*$D14,IF($E14="kW",VLOOKUP(V$4,'4. Billing Determinants'!$B$19:$N$41,5,0)/'4. Billing Determinants'!$F$41*$D14,IF($E14="Non-RPP kWh",VLOOKUP(V$4,'4. Billing Determinants'!$B$19:$N$41,6,0)/'4. Billing Determinants'!$G$41*$D14,IF($E14="Distribution Rev.",VLOOKUP(V$4,'4. Billing Determinants'!$B$19:$N$41,8,0)/'4. Billing Determinants'!$I$41*$D14, VLOOKUP(V$4,'4. Billing Determinants'!$B$19:$N$41,3,0)/'4. Billing Determinants'!$D$41*$D14))))),0)</f>
        <v>0</v>
      </c>
      <c r="W14" s="75">
        <f>IFERROR(IF(W$4="",0,IF($E14="kWh",VLOOKUP(W$4,'4. Billing Determinants'!$B$19:$N$41,4,0)/'4. Billing Determinants'!$E$41*$D14,IF($E14="kW",VLOOKUP(W$4,'4. Billing Determinants'!$B$19:$N$41,5,0)/'4. Billing Determinants'!$F$41*$D14,IF($E14="Non-RPP kWh",VLOOKUP(W$4,'4. Billing Determinants'!$B$19:$N$41,6,0)/'4. Billing Determinants'!$G$41*$D14,IF($E14="Distribution Rev.",VLOOKUP(W$4,'4. Billing Determinants'!$B$19:$N$41,8,0)/'4. Billing Determinants'!$I$41*$D14, VLOOKUP(W$4,'4. Billing Determinants'!$B$19:$N$41,3,0)/'4. Billing Determinants'!$D$41*$D14))))),0)</f>
        <v>0</v>
      </c>
      <c r="X14" s="75">
        <f>IFERROR(IF(X$4="",0,IF($E14="kWh",VLOOKUP(X$4,'4. Billing Determinants'!$B$19:$N$41,4,0)/'4. Billing Determinants'!$E$41*$D14,IF($E14="kW",VLOOKUP(X$4,'4. Billing Determinants'!$B$19:$N$41,5,0)/'4. Billing Determinants'!$F$41*$D14,IF($E14="Non-RPP kWh",VLOOKUP(X$4,'4. Billing Determinants'!$B$19:$N$41,6,0)/'4. Billing Determinants'!$G$41*$D14,IF($E14="Distribution Rev.",VLOOKUP(X$4,'4. Billing Determinants'!$B$19:$N$41,8,0)/'4. Billing Determinants'!$I$41*$D14, VLOOKUP(X$4,'4. Billing Determinants'!$B$19:$N$41,3,0)/'4. Billing Determinants'!$D$41*$D14))))),0)</f>
        <v>0</v>
      </c>
      <c r="Y14" s="75">
        <f>IFERROR(IF(Y$4="",0,IF($E14="kWh",VLOOKUP(Y$4,'4. Billing Determinants'!$B$19:$N$41,4,0)/'4. Billing Determinants'!$E$41*$D14,IF($E14="kW",VLOOKUP(Y$4,'4. Billing Determinants'!$B$19:$N$41,5,0)/'4. Billing Determinants'!$F$41*$D14,IF($E14="Non-RPP kWh",VLOOKUP(Y$4,'4. Billing Determinants'!$B$19:$N$41,6,0)/'4. Billing Determinants'!$G$41*$D14,IF($E14="Distribution Rev.",VLOOKUP(Y$4,'4. Billing Determinants'!$B$19:$N$41,8,0)/'4. Billing Determinants'!$I$41*$D14, VLOOKUP(Y$4,'4. Billing Determinants'!$B$19:$N$41,3,0)/'4. Billing Determinants'!$D$41*$D14))))),0)</f>
        <v>0</v>
      </c>
    </row>
    <row r="15" spans="2:25" x14ac:dyDescent="0.2">
      <c r="B15" s="77" t="s">
        <v>288</v>
      </c>
      <c r="C15" s="74">
        <v>1595</v>
      </c>
      <c r="D15" s="75">
        <f>'2. 2013 Continuity Schedule'!CP34</f>
        <v>-21009.620000000003</v>
      </c>
      <c r="E15" s="208" t="s">
        <v>306</v>
      </c>
      <c r="F15" s="75">
        <f>IFERROR(IF(F$4="",0,IF($E15="kWh",VLOOKUP(F$4,'4. Billing Determinants'!$B$19:$N$41,4,0)/'4. Billing Determinants'!$E$41*$D15,IF($E15="kW",VLOOKUP(F$4,'4. Billing Determinants'!$B$19:$N$41,5,0)/'4. Billing Determinants'!$F$41*$D15,IF($E15="Non-RPP kWh",VLOOKUP(F$4,'4. Billing Determinants'!$B$19:$N$41,6,0)/'4. Billing Determinants'!$G$41*$D15,IF($E15="Distribution Rev.",VLOOKUP(F$4,'4. Billing Determinants'!$B$19:$N$41,8,0)/'4. Billing Determinants'!$I$41*$D15, VLOOKUP(F$4,'4. Billing Determinants'!$B$19:$N$41,3,0)/'4. Billing Determinants'!$D$41*$D15))))),0)</f>
        <v>-10290.443865641484</v>
      </c>
      <c r="G15" s="75">
        <f>IFERROR(IF(G$4="",0,IF($E15="kWh",VLOOKUP(G$4,'4. Billing Determinants'!$B$19:$N$41,4,0)/'4. Billing Determinants'!$E$41*$D15,IF($E15="kW",VLOOKUP(G$4,'4. Billing Determinants'!$B$19:$N$41,5,0)/'4. Billing Determinants'!$F$41*$D15,IF($E15="Non-RPP kWh",VLOOKUP(G$4,'4. Billing Determinants'!$B$19:$N$41,6,0)/'4. Billing Determinants'!$G$41*$D15,IF($E15="Distribution Rev.",VLOOKUP(G$4,'4. Billing Determinants'!$B$19:$N$41,8,0)/'4. Billing Determinants'!$I$41*$D15, VLOOKUP(G$4,'4. Billing Determinants'!$B$19:$N$41,3,0)/'4. Billing Determinants'!$D$41*$D15))))),0)</f>
        <v>-3276.4598275405046</v>
      </c>
      <c r="H15" s="75">
        <f>IFERROR(IF(H$4="",0,IF($E15="kWh",VLOOKUP(H$4,'4. Billing Determinants'!$B$19:$N$41,4,0)/'4. Billing Determinants'!$E$41*$D15,IF($E15="kW",VLOOKUP(H$4,'4. Billing Determinants'!$B$19:$N$41,5,0)/'4. Billing Determinants'!$F$41*$D15,IF($E15="Non-RPP kWh",VLOOKUP(H$4,'4. Billing Determinants'!$B$19:$N$41,6,0)/'4. Billing Determinants'!$G$41*$D15,IF($E15="Distribution Rev.",VLOOKUP(H$4,'4. Billing Determinants'!$B$19:$N$41,8,0)/'4. Billing Determinants'!$I$41*$D15, VLOOKUP(H$4,'4. Billing Determinants'!$B$19:$N$41,3,0)/'4. Billing Determinants'!$D$41*$D15))))),0)</f>
        <v>-7258.9175559986825</v>
      </c>
      <c r="I15" s="75">
        <f>IFERROR(IF(I$4="",0,IF($E15="kWh",VLOOKUP(I$4,'4. Billing Determinants'!$B$19:$N$41,4,0)/'4. Billing Determinants'!$E$41*$D15,IF($E15="kW",VLOOKUP(I$4,'4. Billing Determinants'!$B$19:$N$41,5,0)/'4. Billing Determinants'!$F$41*$D15,IF($E15="Non-RPP kWh",VLOOKUP(I$4,'4. Billing Determinants'!$B$19:$N$41,6,0)/'4. Billing Determinants'!$G$41*$D15,IF($E15="Distribution Rev.",VLOOKUP(I$4,'4. Billing Determinants'!$B$19:$N$41,8,0)/'4. Billing Determinants'!$I$41*$D15, VLOOKUP(I$4,'4. Billing Determinants'!$B$19:$N$41,3,0)/'4. Billing Determinants'!$D$41*$D15))))),0)</f>
        <v>-19.489914262076862</v>
      </c>
      <c r="J15" s="75">
        <f>IFERROR(IF(J$4="",0,IF($E15="kWh",VLOOKUP(J$4,'4. Billing Determinants'!$B$19:$N$41,4,0)/'4. Billing Determinants'!$E$41*$D15,IF($E15="kW",VLOOKUP(J$4,'4. Billing Determinants'!$B$19:$N$41,5,0)/'4. Billing Determinants'!$F$41*$D15,IF($E15="Non-RPP kWh",VLOOKUP(J$4,'4. Billing Determinants'!$B$19:$N$41,6,0)/'4. Billing Determinants'!$G$41*$D15,IF($E15="Distribution Rev.",VLOOKUP(J$4,'4. Billing Determinants'!$B$19:$N$41,8,0)/'4. Billing Determinants'!$I$41*$D15, VLOOKUP(J$4,'4. Billing Determinants'!$B$19:$N$41,3,0)/'4. Billing Determinants'!$D$41*$D15))))),0)</f>
        <v>-143.02671486318908</v>
      </c>
      <c r="K15" s="75">
        <f>IFERROR(IF(K$4="",0,IF($E15="kWh",VLOOKUP(K$4,'4. Billing Determinants'!$B$19:$N$41,4,0)/'4. Billing Determinants'!$E$41*$D15,IF($E15="kW",VLOOKUP(K$4,'4. Billing Determinants'!$B$19:$N$41,5,0)/'4. Billing Determinants'!$F$41*$D15,IF($E15="Non-RPP kWh",VLOOKUP(K$4,'4. Billing Determinants'!$B$19:$N$41,6,0)/'4. Billing Determinants'!$G$41*$D15,IF($E15="Distribution Rev.",VLOOKUP(K$4,'4. Billing Determinants'!$B$19:$N$41,8,0)/'4. Billing Determinants'!$I$41*$D15, VLOOKUP(K$4,'4. Billing Determinants'!$B$19:$N$41,3,0)/'4. Billing Determinants'!$D$41*$D15))))),0)</f>
        <v>-21.282121694064895</v>
      </c>
      <c r="L15" s="75">
        <f>IFERROR(IF(L$4="",0,IF($E15="kWh",VLOOKUP(L$4,'4. Billing Determinants'!$B$19:$N$41,4,0)/'4. Billing Determinants'!$E$41*$D15,IF($E15="kW",VLOOKUP(L$4,'4. Billing Determinants'!$B$19:$N$41,5,0)/'4. Billing Determinants'!$F$41*$D15,IF($E15="Non-RPP kWh",VLOOKUP(L$4,'4. Billing Determinants'!$B$19:$N$41,6,0)/'4. Billing Determinants'!$G$41*$D15,IF($E15="Distribution Rev.",VLOOKUP(L$4,'4. Billing Determinants'!$B$19:$N$41,8,0)/'4. Billing Determinants'!$I$41*$D15, VLOOKUP(L$4,'4. Billing Determinants'!$B$19:$N$41,3,0)/'4. Billing Determinants'!$D$41*$D15))))),0)</f>
        <v>0</v>
      </c>
      <c r="M15" s="75">
        <f>IFERROR(IF(M$4="",0,IF($E15="kWh",VLOOKUP(M$4,'4. Billing Determinants'!$B$19:$N$41,4,0)/'4. Billing Determinants'!$E$41*$D15,IF($E15="kW",VLOOKUP(M$4,'4. Billing Determinants'!$B$19:$N$41,5,0)/'4. Billing Determinants'!$F$41*$D15,IF($E15="Non-RPP kWh",VLOOKUP(M$4,'4. Billing Determinants'!$B$19:$N$41,6,0)/'4. Billing Determinants'!$G$41*$D15,IF($E15="Distribution Rev.",VLOOKUP(M$4,'4. Billing Determinants'!$B$19:$N$41,8,0)/'4. Billing Determinants'!$I$41*$D15, VLOOKUP(M$4,'4. Billing Determinants'!$B$19:$N$41,3,0)/'4. Billing Determinants'!$D$41*$D15))))),0)</f>
        <v>0</v>
      </c>
      <c r="N15" s="75">
        <f>IFERROR(IF(N$4="",0,IF($E15="kWh",VLOOKUP(N$4,'4. Billing Determinants'!$B$19:$N$41,4,0)/'4. Billing Determinants'!$E$41*$D15,IF($E15="kW",VLOOKUP(N$4,'4. Billing Determinants'!$B$19:$N$41,5,0)/'4. Billing Determinants'!$F$41*$D15,IF($E15="Non-RPP kWh",VLOOKUP(N$4,'4. Billing Determinants'!$B$19:$N$41,6,0)/'4. Billing Determinants'!$G$41*$D15,IF($E15="Distribution Rev.",VLOOKUP(N$4,'4. Billing Determinants'!$B$19:$N$41,8,0)/'4. Billing Determinants'!$I$41*$D15, VLOOKUP(N$4,'4. Billing Determinants'!$B$19:$N$41,3,0)/'4. Billing Determinants'!$D$41*$D15))))),0)</f>
        <v>0</v>
      </c>
      <c r="O15" s="75">
        <f>IFERROR(IF(O$4="",0,IF($E15="kWh",VLOOKUP(O$4,'4. Billing Determinants'!$B$19:$N$41,4,0)/'4. Billing Determinants'!$E$41*$D15,IF($E15="kW",VLOOKUP(O$4,'4. Billing Determinants'!$B$19:$N$41,5,0)/'4. Billing Determinants'!$F$41*$D15,IF($E15="Non-RPP kWh",VLOOKUP(O$4,'4. Billing Determinants'!$B$19:$N$41,6,0)/'4. Billing Determinants'!$G$41*$D15,IF($E15="Distribution Rev.",VLOOKUP(O$4,'4. Billing Determinants'!$B$19:$N$41,8,0)/'4. Billing Determinants'!$I$41*$D15, VLOOKUP(O$4,'4. Billing Determinants'!$B$19:$N$41,3,0)/'4. Billing Determinants'!$D$41*$D15))))),0)</f>
        <v>0</v>
      </c>
      <c r="P15" s="75">
        <f>IFERROR(IF(P$4="",0,IF($E15="kWh",VLOOKUP(P$4,'4. Billing Determinants'!$B$19:$N$41,4,0)/'4. Billing Determinants'!$E$41*$D15,IF($E15="kW",VLOOKUP(P$4,'4. Billing Determinants'!$B$19:$N$41,5,0)/'4. Billing Determinants'!$F$41*$D15,IF($E15="Non-RPP kWh",VLOOKUP(P$4,'4. Billing Determinants'!$B$19:$N$41,6,0)/'4. Billing Determinants'!$G$41*$D15,IF($E15="Distribution Rev.",VLOOKUP(P$4,'4. Billing Determinants'!$B$19:$N$41,8,0)/'4. Billing Determinants'!$I$41*$D15, VLOOKUP(P$4,'4. Billing Determinants'!$B$19:$N$41,3,0)/'4. Billing Determinants'!$D$41*$D15))))),0)</f>
        <v>0</v>
      </c>
      <c r="Q15" s="75">
        <f>IFERROR(IF(Q$4="",0,IF($E15="kWh",VLOOKUP(Q$4,'4. Billing Determinants'!$B$19:$N$41,4,0)/'4. Billing Determinants'!$E$41*$D15,IF($E15="kW",VLOOKUP(Q$4,'4. Billing Determinants'!$B$19:$N$41,5,0)/'4. Billing Determinants'!$F$41*$D15,IF($E15="Non-RPP kWh",VLOOKUP(Q$4,'4. Billing Determinants'!$B$19:$N$41,6,0)/'4. Billing Determinants'!$G$41*$D15,IF($E15="Distribution Rev.",VLOOKUP(Q$4,'4. Billing Determinants'!$B$19:$N$41,8,0)/'4. Billing Determinants'!$I$41*$D15, VLOOKUP(Q$4,'4. Billing Determinants'!$B$19:$N$41,3,0)/'4. Billing Determinants'!$D$41*$D15))))),0)</f>
        <v>0</v>
      </c>
      <c r="R15" s="75">
        <f>IFERROR(IF(R$4="",0,IF($E15="kWh",VLOOKUP(R$4,'4. Billing Determinants'!$B$19:$N$41,4,0)/'4. Billing Determinants'!$E$41*$D15,IF($E15="kW",VLOOKUP(R$4,'4. Billing Determinants'!$B$19:$N$41,5,0)/'4. Billing Determinants'!$F$41*$D15,IF($E15="Non-RPP kWh",VLOOKUP(R$4,'4. Billing Determinants'!$B$19:$N$41,6,0)/'4. Billing Determinants'!$G$41*$D15,IF($E15="Distribution Rev.",VLOOKUP(R$4,'4. Billing Determinants'!$B$19:$N$41,8,0)/'4. Billing Determinants'!$I$41*$D15, VLOOKUP(R$4,'4. Billing Determinants'!$B$19:$N$41,3,0)/'4. Billing Determinants'!$D$41*$D15))))),0)</f>
        <v>0</v>
      </c>
      <c r="S15" s="75">
        <f>IFERROR(IF(S$4="",0,IF($E15="kWh",VLOOKUP(S$4,'4. Billing Determinants'!$B$19:$N$41,4,0)/'4. Billing Determinants'!$E$41*$D15,IF($E15="kW",VLOOKUP(S$4,'4. Billing Determinants'!$B$19:$N$41,5,0)/'4. Billing Determinants'!$F$41*$D15,IF($E15="Non-RPP kWh",VLOOKUP(S$4,'4. Billing Determinants'!$B$19:$N$41,6,0)/'4. Billing Determinants'!$G$41*$D15,IF($E15="Distribution Rev.",VLOOKUP(S$4,'4. Billing Determinants'!$B$19:$N$41,8,0)/'4. Billing Determinants'!$I$41*$D15, VLOOKUP(S$4,'4. Billing Determinants'!$B$19:$N$41,3,0)/'4. Billing Determinants'!$D$41*$D15))))),0)</f>
        <v>0</v>
      </c>
      <c r="T15" s="75">
        <f>IFERROR(IF(T$4="",0,IF($E15="kWh",VLOOKUP(T$4,'4. Billing Determinants'!$B$19:$N$41,4,0)/'4. Billing Determinants'!$E$41*$D15,IF($E15="kW",VLOOKUP(T$4,'4. Billing Determinants'!$B$19:$N$41,5,0)/'4. Billing Determinants'!$F$41*$D15,IF($E15="Non-RPP kWh",VLOOKUP(T$4,'4. Billing Determinants'!$B$19:$N$41,6,0)/'4. Billing Determinants'!$G$41*$D15,IF($E15="Distribution Rev.",VLOOKUP(T$4,'4. Billing Determinants'!$B$19:$N$41,8,0)/'4. Billing Determinants'!$I$41*$D15, VLOOKUP(T$4,'4. Billing Determinants'!$B$19:$N$41,3,0)/'4. Billing Determinants'!$D$41*$D15))))),0)</f>
        <v>0</v>
      </c>
      <c r="U15" s="75">
        <f>IFERROR(IF(U$4="",0,IF($E15="kWh",VLOOKUP(U$4,'4. Billing Determinants'!$B$19:$N$41,4,0)/'4. Billing Determinants'!$E$41*$D15,IF($E15="kW",VLOOKUP(U$4,'4. Billing Determinants'!$B$19:$N$41,5,0)/'4. Billing Determinants'!$F$41*$D15,IF($E15="Non-RPP kWh",VLOOKUP(U$4,'4. Billing Determinants'!$B$19:$N$41,6,0)/'4. Billing Determinants'!$G$41*$D15,IF($E15="Distribution Rev.",VLOOKUP(U$4,'4. Billing Determinants'!$B$19:$N$41,8,0)/'4. Billing Determinants'!$I$41*$D15, VLOOKUP(U$4,'4. Billing Determinants'!$B$19:$N$41,3,0)/'4. Billing Determinants'!$D$41*$D15))))),0)</f>
        <v>0</v>
      </c>
      <c r="V15" s="75">
        <f>IFERROR(IF(V$4="",0,IF($E15="kWh",VLOOKUP(V$4,'4. Billing Determinants'!$B$19:$N$41,4,0)/'4. Billing Determinants'!$E$41*$D15,IF($E15="kW",VLOOKUP(V$4,'4. Billing Determinants'!$B$19:$N$41,5,0)/'4. Billing Determinants'!$F$41*$D15,IF($E15="Non-RPP kWh",VLOOKUP(V$4,'4. Billing Determinants'!$B$19:$N$41,6,0)/'4. Billing Determinants'!$G$41*$D15,IF($E15="Distribution Rev.",VLOOKUP(V$4,'4. Billing Determinants'!$B$19:$N$41,8,0)/'4. Billing Determinants'!$I$41*$D15, VLOOKUP(V$4,'4. Billing Determinants'!$B$19:$N$41,3,0)/'4. Billing Determinants'!$D$41*$D15))))),0)</f>
        <v>0</v>
      </c>
      <c r="W15" s="75">
        <f>IFERROR(IF(W$4="",0,IF($E15="kWh",VLOOKUP(W$4,'4. Billing Determinants'!$B$19:$N$41,4,0)/'4. Billing Determinants'!$E$41*$D15,IF($E15="kW",VLOOKUP(W$4,'4. Billing Determinants'!$B$19:$N$41,5,0)/'4. Billing Determinants'!$F$41*$D15,IF($E15="Non-RPP kWh",VLOOKUP(W$4,'4. Billing Determinants'!$B$19:$N$41,6,0)/'4. Billing Determinants'!$G$41*$D15,IF($E15="Distribution Rev.",VLOOKUP(W$4,'4. Billing Determinants'!$B$19:$N$41,8,0)/'4. Billing Determinants'!$I$41*$D15, VLOOKUP(W$4,'4. Billing Determinants'!$B$19:$N$41,3,0)/'4. Billing Determinants'!$D$41*$D15))))),0)</f>
        <v>0</v>
      </c>
      <c r="X15" s="75">
        <f>IFERROR(IF(X$4="",0,IF($E15="kWh",VLOOKUP(X$4,'4. Billing Determinants'!$B$19:$N$41,4,0)/'4. Billing Determinants'!$E$41*$D15,IF($E15="kW",VLOOKUP(X$4,'4. Billing Determinants'!$B$19:$N$41,5,0)/'4. Billing Determinants'!$F$41*$D15,IF($E15="Non-RPP kWh",VLOOKUP(X$4,'4. Billing Determinants'!$B$19:$N$41,6,0)/'4. Billing Determinants'!$G$41*$D15,IF($E15="Distribution Rev.",VLOOKUP(X$4,'4. Billing Determinants'!$B$19:$N$41,8,0)/'4. Billing Determinants'!$I$41*$D15, VLOOKUP(X$4,'4. Billing Determinants'!$B$19:$N$41,3,0)/'4. Billing Determinants'!$D$41*$D15))))),0)</f>
        <v>0</v>
      </c>
      <c r="Y15" s="75">
        <f>IFERROR(IF(Y$4="",0,IF($E15="kWh",VLOOKUP(Y$4,'4. Billing Determinants'!$B$19:$N$41,4,0)/'4. Billing Determinants'!$E$41*$D15,IF($E15="kW",VLOOKUP(Y$4,'4. Billing Determinants'!$B$19:$N$41,5,0)/'4. Billing Determinants'!$F$41*$D15,IF($E15="Non-RPP kWh",VLOOKUP(Y$4,'4. Billing Determinants'!$B$19:$N$41,6,0)/'4. Billing Determinants'!$G$41*$D15,IF($E15="Distribution Rev.",VLOOKUP(Y$4,'4. Billing Determinants'!$B$19:$N$41,8,0)/'4. Billing Determinants'!$I$41*$D15, VLOOKUP(Y$4,'4. Billing Determinants'!$B$19:$N$41,3,0)/'4. Billing Determinants'!$D$41*$D15))))),0)</f>
        <v>0</v>
      </c>
    </row>
    <row r="16" spans="2:25" s="61" customFormat="1" x14ac:dyDescent="0.2">
      <c r="B16" s="93" t="s">
        <v>202</v>
      </c>
      <c r="C16" s="93"/>
      <c r="D16" s="94">
        <f>SUM(D5:D15)-D10</f>
        <v>-951401.82</v>
      </c>
      <c r="E16" s="106"/>
      <c r="F16" s="94">
        <f>SUM(F5:F15)-F10</f>
        <v>-465993.53164784238</v>
      </c>
      <c r="G16" s="94">
        <f t="shared" ref="G16:Y16" si="0">SUM(G5:G15)-G10</f>
        <v>-148371.54803746671</v>
      </c>
      <c r="H16" s="94">
        <f t="shared" si="0"/>
        <v>-328713.57854197721</v>
      </c>
      <c r="I16" s="94">
        <f t="shared" si="0"/>
        <v>-882.58330710331165</v>
      </c>
      <c r="J16" s="94">
        <f t="shared" si="0"/>
        <v>-6476.8366505181493</v>
      </c>
      <c r="K16" s="94">
        <f t="shared" si="0"/>
        <v>-963.74181509207779</v>
      </c>
      <c r="L16" s="94">
        <f t="shared" si="0"/>
        <v>0</v>
      </c>
      <c r="M16" s="94">
        <f t="shared" si="0"/>
        <v>0</v>
      </c>
      <c r="N16" s="94">
        <f t="shared" si="0"/>
        <v>0</v>
      </c>
      <c r="O16" s="94">
        <f t="shared" si="0"/>
        <v>0</v>
      </c>
      <c r="P16" s="94">
        <f t="shared" si="0"/>
        <v>0</v>
      </c>
      <c r="Q16" s="94">
        <f t="shared" si="0"/>
        <v>0</v>
      </c>
      <c r="R16" s="94">
        <f t="shared" si="0"/>
        <v>0</v>
      </c>
      <c r="S16" s="94">
        <f t="shared" si="0"/>
        <v>0</v>
      </c>
      <c r="T16" s="94">
        <f t="shared" si="0"/>
        <v>0</v>
      </c>
      <c r="U16" s="94">
        <f t="shared" si="0"/>
        <v>0</v>
      </c>
      <c r="V16" s="94">
        <f t="shared" si="0"/>
        <v>0</v>
      </c>
      <c r="W16" s="94">
        <f t="shared" si="0"/>
        <v>0</v>
      </c>
      <c r="X16" s="94">
        <f t="shared" si="0"/>
        <v>0</v>
      </c>
      <c r="Y16" s="94">
        <f t="shared" si="0"/>
        <v>0</v>
      </c>
    </row>
    <row r="17" spans="2:25" ht="8.25" customHeight="1" x14ac:dyDescent="0.2">
      <c r="B17" s="78"/>
      <c r="C17" s="78"/>
      <c r="D17" s="79"/>
      <c r="E17" s="92"/>
    </row>
    <row r="18" spans="2:25" x14ac:dyDescent="0.2">
      <c r="B18" s="73" t="s">
        <v>14</v>
      </c>
      <c r="C18" s="74">
        <v>1508</v>
      </c>
      <c r="D18" s="75">
        <f>'2. 2013 Continuity Schedule'!CP41</f>
        <v>0</v>
      </c>
      <c r="E18" s="208"/>
      <c r="F18" s="75">
        <f>IFERROR(IF(F$4="",0,IF($E18="kWh",VLOOKUP(F$4,'4. Billing Determinants'!$B$19:$N$41,4,0)/'4. Billing Determinants'!$E$41*$D18,IF($E18="kW",VLOOKUP(F$4,'4. Billing Determinants'!$B$19:$N$41,5,0)/'4. Billing Determinants'!$F$41*$D18,IF($E18="Non-RPP kWh",VLOOKUP(F$4,'4. Billing Determinants'!$B$19:$N$41,6,0)/'4. Billing Determinants'!$G$41*$D18,IF($E18="Distribution Rev.",VLOOKUP(F$4,'4. Billing Determinants'!$B$19:$N$41,8,0)/'4. Billing Determinants'!$I$41*$D18, VLOOKUP(F$4,'4. Billing Determinants'!$B$19:$N$41,3,0)/'4. Billing Determinants'!$D$41*$D18))))),0)</f>
        <v>0</v>
      </c>
      <c r="G18" s="75">
        <f>IFERROR(IF(G$4="",0,IF($E18="kWh",VLOOKUP(G$4,'4. Billing Determinants'!$B$19:$N$41,4,0)/'4. Billing Determinants'!$E$41*$D18,IF($E18="kW",VLOOKUP(G$4,'4. Billing Determinants'!$B$19:$N$41,5,0)/'4. Billing Determinants'!$F$41*$D18,IF($E18="Non-RPP kWh",VLOOKUP(G$4,'4. Billing Determinants'!$B$19:$N$41,6,0)/'4. Billing Determinants'!$G$41*$D18,IF($E18="Distribution Rev.",VLOOKUP(G$4,'4. Billing Determinants'!$B$19:$N$41,8,0)/'4. Billing Determinants'!$I$41*$D18, VLOOKUP(G$4,'4. Billing Determinants'!$B$19:$N$41,3,0)/'4. Billing Determinants'!$D$41*$D18))))),0)</f>
        <v>0</v>
      </c>
      <c r="H18" s="75">
        <f>IFERROR(IF(H$4="",0,IF($E18="kWh",VLOOKUP(H$4,'4. Billing Determinants'!$B$19:$N$41,4,0)/'4. Billing Determinants'!$E$41*$D18,IF($E18="kW",VLOOKUP(H$4,'4. Billing Determinants'!$B$19:$N$41,5,0)/'4. Billing Determinants'!$F$41*$D18,IF($E18="Non-RPP kWh",VLOOKUP(H$4,'4. Billing Determinants'!$B$19:$N$41,6,0)/'4. Billing Determinants'!$G$41*$D18,IF($E18="Distribution Rev.",VLOOKUP(H$4,'4. Billing Determinants'!$B$19:$N$41,8,0)/'4. Billing Determinants'!$I$41*$D18, VLOOKUP(H$4,'4. Billing Determinants'!$B$19:$N$41,3,0)/'4. Billing Determinants'!$D$41*$D18))))),0)</f>
        <v>0</v>
      </c>
      <c r="I18" s="75">
        <f>IFERROR(IF(I$4="",0,IF($E18="kWh",VLOOKUP(I$4,'4. Billing Determinants'!$B$19:$N$41,4,0)/'4. Billing Determinants'!$E$41*$D18,IF($E18="kW",VLOOKUP(I$4,'4. Billing Determinants'!$B$19:$N$41,5,0)/'4. Billing Determinants'!$F$41*$D18,IF($E18="Non-RPP kWh",VLOOKUP(I$4,'4. Billing Determinants'!$B$19:$N$41,6,0)/'4. Billing Determinants'!$G$41*$D18,IF($E18="Distribution Rev.",VLOOKUP(I$4,'4. Billing Determinants'!$B$19:$N$41,8,0)/'4. Billing Determinants'!$I$41*$D18, VLOOKUP(I$4,'4. Billing Determinants'!$B$19:$N$41,3,0)/'4. Billing Determinants'!$D$41*$D18))))),0)</f>
        <v>0</v>
      </c>
      <c r="J18" s="75">
        <f>IFERROR(IF(J$4="",0,IF($E18="kWh",VLOOKUP(J$4,'4. Billing Determinants'!$B$19:$N$41,4,0)/'4. Billing Determinants'!$E$41*$D18,IF($E18="kW",VLOOKUP(J$4,'4. Billing Determinants'!$B$19:$N$41,5,0)/'4. Billing Determinants'!$F$41*$D18,IF($E18="Non-RPP kWh",VLOOKUP(J$4,'4. Billing Determinants'!$B$19:$N$41,6,0)/'4. Billing Determinants'!$G$41*$D18,IF($E18="Distribution Rev.",VLOOKUP(J$4,'4. Billing Determinants'!$B$19:$N$41,8,0)/'4. Billing Determinants'!$I$41*$D18, VLOOKUP(J$4,'4. Billing Determinants'!$B$19:$N$41,3,0)/'4. Billing Determinants'!$D$41*$D18))))),0)</f>
        <v>0</v>
      </c>
      <c r="K18" s="75">
        <f>IFERROR(IF(K$4="",0,IF($E18="kWh",VLOOKUP(K$4,'4. Billing Determinants'!$B$19:$N$41,4,0)/'4. Billing Determinants'!$E$41*$D18,IF($E18="kW",VLOOKUP(K$4,'4. Billing Determinants'!$B$19:$N$41,5,0)/'4. Billing Determinants'!$F$41*$D18,IF($E18="Non-RPP kWh",VLOOKUP(K$4,'4. Billing Determinants'!$B$19:$N$41,6,0)/'4. Billing Determinants'!$G$41*$D18,IF($E18="Distribution Rev.",VLOOKUP(K$4,'4. Billing Determinants'!$B$19:$N$41,8,0)/'4. Billing Determinants'!$I$41*$D18, VLOOKUP(K$4,'4. Billing Determinants'!$B$19:$N$41,3,0)/'4. Billing Determinants'!$D$41*$D18))))),0)</f>
        <v>0</v>
      </c>
      <c r="L18" s="75">
        <f>IFERROR(IF(L$4="",0,IF($E18="kWh",VLOOKUP(L$4,'4. Billing Determinants'!$B$19:$N$41,4,0)/'4. Billing Determinants'!$E$41*$D18,IF($E18="kW",VLOOKUP(L$4,'4. Billing Determinants'!$B$19:$N$41,5,0)/'4. Billing Determinants'!$F$41*$D18,IF($E18="Non-RPP kWh",VLOOKUP(L$4,'4. Billing Determinants'!$B$19:$N$41,6,0)/'4. Billing Determinants'!$G$41*$D18,IF($E18="Distribution Rev.",VLOOKUP(L$4,'4. Billing Determinants'!$B$19:$N$41,8,0)/'4. Billing Determinants'!$I$41*$D18, VLOOKUP(L$4,'4. Billing Determinants'!$B$19:$N$41,3,0)/'4. Billing Determinants'!$D$41*$D18))))),0)</f>
        <v>0</v>
      </c>
      <c r="M18" s="75">
        <f>IFERROR(IF(M$4="",0,IF($E18="kWh",VLOOKUP(M$4,'4. Billing Determinants'!$B$19:$N$41,4,0)/'4. Billing Determinants'!$E$41*$D18,IF($E18="kW",VLOOKUP(M$4,'4. Billing Determinants'!$B$19:$N$41,5,0)/'4. Billing Determinants'!$F$41*$D18,IF($E18="Non-RPP kWh",VLOOKUP(M$4,'4. Billing Determinants'!$B$19:$N$41,6,0)/'4. Billing Determinants'!$G$41*$D18,IF($E18="Distribution Rev.",VLOOKUP(M$4,'4. Billing Determinants'!$B$19:$N$41,8,0)/'4. Billing Determinants'!$I$41*$D18, VLOOKUP(M$4,'4. Billing Determinants'!$B$19:$N$41,3,0)/'4. Billing Determinants'!$D$41*$D18))))),0)</f>
        <v>0</v>
      </c>
      <c r="N18" s="75">
        <f>IFERROR(IF(N$4="",0,IF($E18="kWh",VLOOKUP(N$4,'4. Billing Determinants'!$B$19:$N$41,4,0)/'4. Billing Determinants'!$E$41*$D18,IF($E18="kW",VLOOKUP(N$4,'4. Billing Determinants'!$B$19:$N$41,5,0)/'4. Billing Determinants'!$F$41*$D18,IF($E18="Non-RPP kWh",VLOOKUP(N$4,'4. Billing Determinants'!$B$19:$N$41,6,0)/'4. Billing Determinants'!$G$41*$D18,IF($E18="Distribution Rev.",VLOOKUP(N$4,'4. Billing Determinants'!$B$19:$N$41,8,0)/'4. Billing Determinants'!$I$41*$D18, VLOOKUP(N$4,'4. Billing Determinants'!$B$19:$N$41,3,0)/'4. Billing Determinants'!$D$41*$D18))))),0)</f>
        <v>0</v>
      </c>
      <c r="O18" s="75">
        <f>IFERROR(IF(O$4="",0,IF($E18="kWh",VLOOKUP(O$4,'4. Billing Determinants'!$B$19:$N$41,4,0)/'4. Billing Determinants'!$E$41*$D18,IF($E18="kW",VLOOKUP(O$4,'4. Billing Determinants'!$B$19:$N$41,5,0)/'4. Billing Determinants'!$F$41*$D18,IF($E18="Non-RPP kWh",VLOOKUP(O$4,'4. Billing Determinants'!$B$19:$N$41,6,0)/'4. Billing Determinants'!$G$41*$D18,IF($E18="Distribution Rev.",VLOOKUP(O$4,'4. Billing Determinants'!$B$19:$N$41,8,0)/'4. Billing Determinants'!$I$41*$D18, VLOOKUP(O$4,'4. Billing Determinants'!$B$19:$N$41,3,0)/'4. Billing Determinants'!$D$41*$D18))))),0)</f>
        <v>0</v>
      </c>
      <c r="P18" s="75">
        <f>IFERROR(IF(P$4="",0,IF($E18="kWh",VLOOKUP(P$4,'4. Billing Determinants'!$B$19:$N$41,4,0)/'4. Billing Determinants'!$E$41*$D18,IF($E18="kW",VLOOKUP(P$4,'4. Billing Determinants'!$B$19:$N$41,5,0)/'4. Billing Determinants'!$F$41*$D18,IF($E18="Non-RPP kWh",VLOOKUP(P$4,'4. Billing Determinants'!$B$19:$N$41,6,0)/'4. Billing Determinants'!$G$41*$D18,IF($E18="Distribution Rev.",VLOOKUP(P$4,'4. Billing Determinants'!$B$19:$N$41,8,0)/'4. Billing Determinants'!$I$41*$D18, VLOOKUP(P$4,'4. Billing Determinants'!$B$19:$N$41,3,0)/'4. Billing Determinants'!$D$41*$D18))))),0)</f>
        <v>0</v>
      </c>
      <c r="Q18" s="75">
        <f>IFERROR(IF(Q$4="",0,IF($E18="kWh",VLOOKUP(Q$4,'4. Billing Determinants'!$B$19:$N$41,4,0)/'4. Billing Determinants'!$E$41*$D18,IF($E18="kW",VLOOKUP(Q$4,'4. Billing Determinants'!$B$19:$N$41,5,0)/'4. Billing Determinants'!$F$41*$D18,IF($E18="Non-RPP kWh",VLOOKUP(Q$4,'4. Billing Determinants'!$B$19:$N$41,6,0)/'4. Billing Determinants'!$G$41*$D18,IF($E18="Distribution Rev.",VLOOKUP(Q$4,'4. Billing Determinants'!$B$19:$N$41,8,0)/'4. Billing Determinants'!$I$41*$D18, VLOOKUP(Q$4,'4. Billing Determinants'!$B$19:$N$41,3,0)/'4. Billing Determinants'!$D$41*$D18))))),0)</f>
        <v>0</v>
      </c>
      <c r="R18" s="75">
        <f>IFERROR(IF(R$4="",0,IF($E18="kWh",VLOOKUP(R$4,'4. Billing Determinants'!$B$19:$N$41,4,0)/'4. Billing Determinants'!$E$41*$D18,IF($E18="kW",VLOOKUP(R$4,'4. Billing Determinants'!$B$19:$N$41,5,0)/'4. Billing Determinants'!$F$41*$D18,IF($E18="Non-RPP kWh",VLOOKUP(R$4,'4. Billing Determinants'!$B$19:$N$41,6,0)/'4. Billing Determinants'!$G$41*$D18,IF($E18="Distribution Rev.",VLOOKUP(R$4,'4. Billing Determinants'!$B$19:$N$41,8,0)/'4. Billing Determinants'!$I$41*$D18, VLOOKUP(R$4,'4. Billing Determinants'!$B$19:$N$41,3,0)/'4. Billing Determinants'!$D$41*$D18))))),0)</f>
        <v>0</v>
      </c>
      <c r="S18" s="75">
        <f>IFERROR(IF(S$4="",0,IF($E18="kWh",VLOOKUP(S$4,'4. Billing Determinants'!$B$19:$N$41,4,0)/'4. Billing Determinants'!$E$41*$D18,IF($E18="kW",VLOOKUP(S$4,'4. Billing Determinants'!$B$19:$N$41,5,0)/'4. Billing Determinants'!$F$41*$D18,IF($E18="Non-RPP kWh",VLOOKUP(S$4,'4. Billing Determinants'!$B$19:$N$41,6,0)/'4. Billing Determinants'!$G$41*$D18,IF($E18="Distribution Rev.",VLOOKUP(S$4,'4. Billing Determinants'!$B$19:$N$41,8,0)/'4. Billing Determinants'!$I$41*$D18, VLOOKUP(S$4,'4. Billing Determinants'!$B$19:$N$41,3,0)/'4. Billing Determinants'!$D$41*$D18))))),0)</f>
        <v>0</v>
      </c>
      <c r="T18" s="75">
        <f>IFERROR(IF(T$4="",0,IF($E18="kWh",VLOOKUP(T$4,'4. Billing Determinants'!$B$19:$N$41,4,0)/'4. Billing Determinants'!$E$41*$D18,IF($E18="kW",VLOOKUP(T$4,'4. Billing Determinants'!$B$19:$N$41,5,0)/'4. Billing Determinants'!$F$41*$D18,IF($E18="Non-RPP kWh",VLOOKUP(T$4,'4. Billing Determinants'!$B$19:$N$41,6,0)/'4. Billing Determinants'!$G$41*$D18,IF($E18="Distribution Rev.",VLOOKUP(T$4,'4. Billing Determinants'!$B$19:$N$41,8,0)/'4. Billing Determinants'!$I$41*$D18, VLOOKUP(T$4,'4. Billing Determinants'!$B$19:$N$41,3,0)/'4. Billing Determinants'!$D$41*$D18))))),0)</f>
        <v>0</v>
      </c>
      <c r="U18" s="75">
        <f>IFERROR(IF(U$4="",0,IF($E18="kWh",VLOOKUP(U$4,'4. Billing Determinants'!$B$19:$N$41,4,0)/'4. Billing Determinants'!$E$41*$D18,IF($E18="kW",VLOOKUP(U$4,'4. Billing Determinants'!$B$19:$N$41,5,0)/'4. Billing Determinants'!$F$41*$D18,IF($E18="Non-RPP kWh",VLOOKUP(U$4,'4. Billing Determinants'!$B$19:$N$41,6,0)/'4. Billing Determinants'!$G$41*$D18,IF($E18="Distribution Rev.",VLOOKUP(U$4,'4. Billing Determinants'!$B$19:$N$41,8,0)/'4. Billing Determinants'!$I$41*$D18, VLOOKUP(U$4,'4. Billing Determinants'!$B$19:$N$41,3,0)/'4. Billing Determinants'!$D$41*$D18))))),0)</f>
        <v>0</v>
      </c>
      <c r="V18" s="75">
        <f>IFERROR(IF(V$4="",0,IF($E18="kWh",VLOOKUP(V$4,'4. Billing Determinants'!$B$19:$N$41,4,0)/'4. Billing Determinants'!$E$41*$D18,IF($E18="kW",VLOOKUP(V$4,'4. Billing Determinants'!$B$19:$N$41,5,0)/'4. Billing Determinants'!$F$41*$D18,IF($E18="Non-RPP kWh",VLOOKUP(V$4,'4. Billing Determinants'!$B$19:$N$41,6,0)/'4. Billing Determinants'!$G$41*$D18,IF($E18="Distribution Rev.",VLOOKUP(V$4,'4. Billing Determinants'!$B$19:$N$41,8,0)/'4. Billing Determinants'!$I$41*$D18, VLOOKUP(V$4,'4. Billing Determinants'!$B$19:$N$41,3,0)/'4. Billing Determinants'!$D$41*$D18))))),0)</f>
        <v>0</v>
      </c>
      <c r="W18" s="75">
        <f>IFERROR(IF(W$4="",0,IF($E18="kWh",VLOOKUP(W$4,'4. Billing Determinants'!$B$19:$N$41,4,0)/'4. Billing Determinants'!$E$41*$D18,IF($E18="kW",VLOOKUP(W$4,'4. Billing Determinants'!$B$19:$N$41,5,0)/'4. Billing Determinants'!$F$41*$D18,IF($E18="Non-RPP kWh",VLOOKUP(W$4,'4. Billing Determinants'!$B$19:$N$41,6,0)/'4. Billing Determinants'!$G$41*$D18,IF($E18="Distribution Rev.",VLOOKUP(W$4,'4. Billing Determinants'!$B$19:$N$41,8,0)/'4. Billing Determinants'!$I$41*$D18, VLOOKUP(W$4,'4. Billing Determinants'!$B$19:$N$41,3,0)/'4. Billing Determinants'!$D$41*$D18))))),0)</f>
        <v>0</v>
      </c>
      <c r="X18" s="75">
        <f>IFERROR(IF(X$4="",0,IF($E18="kWh",VLOOKUP(X$4,'4. Billing Determinants'!$B$19:$N$41,4,0)/'4. Billing Determinants'!$E$41*$D18,IF($E18="kW",VLOOKUP(X$4,'4. Billing Determinants'!$B$19:$N$41,5,0)/'4. Billing Determinants'!$F$41*$D18,IF($E18="Non-RPP kWh",VLOOKUP(X$4,'4. Billing Determinants'!$B$19:$N$41,6,0)/'4. Billing Determinants'!$G$41*$D18,IF($E18="Distribution Rev.",VLOOKUP(X$4,'4. Billing Determinants'!$B$19:$N$41,8,0)/'4. Billing Determinants'!$I$41*$D18, VLOOKUP(X$4,'4. Billing Determinants'!$B$19:$N$41,3,0)/'4. Billing Determinants'!$D$41*$D18))))),0)</f>
        <v>0</v>
      </c>
      <c r="Y18" s="75">
        <f>IFERROR(IF(Y$4="",0,IF($E18="kWh",VLOOKUP(Y$4,'4. Billing Determinants'!$B$19:$N$41,4,0)/'4. Billing Determinants'!$E$41*$D18,IF($E18="kW",VLOOKUP(Y$4,'4. Billing Determinants'!$B$19:$N$41,5,0)/'4. Billing Determinants'!$F$41*$D18,IF($E18="Non-RPP kWh",VLOOKUP(Y$4,'4. Billing Determinants'!$B$19:$N$41,6,0)/'4. Billing Determinants'!$G$41*$D18,IF($E18="Distribution Rev.",VLOOKUP(Y$4,'4. Billing Determinants'!$B$19:$N$41,8,0)/'4. Billing Determinants'!$I$41*$D18, VLOOKUP(Y$4,'4. Billing Determinants'!$B$19:$N$41,3,0)/'4. Billing Determinants'!$D$41*$D18))))),0)</f>
        <v>0</v>
      </c>
    </row>
    <row r="19" spans="2:25" x14ac:dyDescent="0.2">
      <c r="B19" s="73" t="s">
        <v>15</v>
      </c>
      <c r="C19" s="74">
        <v>1508</v>
      </c>
      <c r="D19" s="75">
        <f>'2. 2013 Continuity Schedule'!CP42</f>
        <v>0</v>
      </c>
      <c r="E19" s="208"/>
      <c r="F19" s="75">
        <f>IFERROR(IF(F$4="",0,IF($E19="kWh",VLOOKUP(F$4,'4. Billing Determinants'!$B$19:$N$41,4,0)/'4. Billing Determinants'!$E$41*$D19,IF($E19="kW",VLOOKUP(F$4,'4. Billing Determinants'!$B$19:$N$41,5,0)/'4. Billing Determinants'!$F$41*$D19,IF($E19="Non-RPP kWh",VLOOKUP(F$4,'4. Billing Determinants'!$B$19:$N$41,6,0)/'4. Billing Determinants'!$G$41*$D19,IF($E19="Distribution Rev.",VLOOKUP(F$4,'4. Billing Determinants'!$B$19:$N$41,8,0)/'4. Billing Determinants'!$I$41*$D19, VLOOKUP(F$4,'4. Billing Determinants'!$B$19:$N$41,3,0)/'4. Billing Determinants'!$D$41*$D19))))),0)</f>
        <v>0</v>
      </c>
      <c r="G19" s="75">
        <f>IFERROR(IF(G$4="",0,IF($E19="kWh",VLOOKUP(G$4,'4. Billing Determinants'!$B$19:$N$41,4,0)/'4. Billing Determinants'!$E$41*$D19,IF($E19="kW",VLOOKUP(G$4,'4. Billing Determinants'!$B$19:$N$41,5,0)/'4. Billing Determinants'!$F$41*$D19,IF($E19="Non-RPP kWh",VLOOKUP(G$4,'4. Billing Determinants'!$B$19:$N$41,6,0)/'4. Billing Determinants'!$G$41*$D19,IF($E19="Distribution Rev.",VLOOKUP(G$4,'4. Billing Determinants'!$B$19:$N$41,8,0)/'4. Billing Determinants'!$I$41*$D19, VLOOKUP(G$4,'4. Billing Determinants'!$B$19:$N$41,3,0)/'4. Billing Determinants'!$D$41*$D19))))),0)</f>
        <v>0</v>
      </c>
      <c r="H19" s="75">
        <f>IFERROR(IF(H$4="",0,IF($E19="kWh",VLOOKUP(H$4,'4. Billing Determinants'!$B$19:$N$41,4,0)/'4. Billing Determinants'!$E$41*$D19,IF($E19="kW",VLOOKUP(H$4,'4. Billing Determinants'!$B$19:$N$41,5,0)/'4. Billing Determinants'!$F$41*$D19,IF($E19="Non-RPP kWh",VLOOKUP(H$4,'4. Billing Determinants'!$B$19:$N$41,6,0)/'4. Billing Determinants'!$G$41*$D19,IF($E19="Distribution Rev.",VLOOKUP(H$4,'4. Billing Determinants'!$B$19:$N$41,8,0)/'4. Billing Determinants'!$I$41*$D19, VLOOKUP(H$4,'4. Billing Determinants'!$B$19:$N$41,3,0)/'4. Billing Determinants'!$D$41*$D19))))),0)</f>
        <v>0</v>
      </c>
      <c r="I19" s="75">
        <f>IFERROR(IF(I$4="",0,IF($E19="kWh",VLOOKUP(I$4,'4. Billing Determinants'!$B$19:$N$41,4,0)/'4. Billing Determinants'!$E$41*$D19,IF($E19="kW",VLOOKUP(I$4,'4. Billing Determinants'!$B$19:$N$41,5,0)/'4. Billing Determinants'!$F$41*$D19,IF($E19="Non-RPP kWh",VLOOKUP(I$4,'4. Billing Determinants'!$B$19:$N$41,6,0)/'4. Billing Determinants'!$G$41*$D19,IF($E19="Distribution Rev.",VLOOKUP(I$4,'4. Billing Determinants'!$B$19:$N$41,8,0)/'4. Billing Determinants'!$I$41*$D19, VLOOKUP(I$4,'4. Billing Determinants'!$B$19:$N$41,3,0)/'4. Billing Determinants'!$D$41*$D19))))),0)</f>
        <v>0</v>
      </c>
      <c r="J19" s="75">
        <f>IFERROR(IF(J$4="",0,IF($E19="kWh",VLOOKUP(J$4,'4. Billing Determinants'!$B$19:$N$41,4,0)/'4. Billing Determinants'!$E$41*$D19,IF($E19="kW",VLOOKUP(J$4,'4. Billing Determinants'!$B$19:$N$41,5,0)/'4. Billing Determinants'!$F$41*$D19,IF($E19="Non-RPP kWh",VLOOKUP(J$4,'4. Billing Determinants'!$B$19:$N$41,6,0)/'4. Billing Determinants'!$G$41*$D19,IF($E19="Distribution Rev.",VLOOKUP(J$4,'4. Billing Determinants'!$B$19:$N$41,8,0)/'4. Billing Determinants'!$I$41*$D19, VLOOKUP(J$4,'4. Billing Determinants'!$B$19:$N$41,3,0)/'4. Billing Determinants'!$D$41*$D19))))),0)</f>
        <v>0</v>
      </c>
      <c r="K19" s="75">
        <f>IFERROR(IF(K$4="",0,IF($E19="kWh",VLOOKUP(K$4,'4. Billing Determinants'!$B$19:$N$41,4,0)/'4. Billing Determinants'!$E$41*$D19,IF($E19="kW",VLOOKUP(K$4,'4. Billing Determinants'!$B$19:$N$41,5,0)/'4. Billing Determinants'!$F$41*$D19,IF($E19="Non-RPP kWh",VLOOKUP(K$4,'4. Billing Determinants'!$B$19:$N$41,6,0)/'4. Billing Determinants'!$G$41*$D19,IF($E19="Distribution Rev.",VLOOKUP(K$4,'4. Billing Determinants'!$B$19:$N$41,8,0)/'4. Billing Determinants'!$I$41*$D19, VLOOKUP(K$4,'4. Billing Determinants'!$B$19:$N$41,3,0)/'4. Billing Determinants'!$D$41*$D19))))),0)</f>
        <v>0</v>
      </c>
      <c r="L19" s="75">
        <f>IFERROR(IF(L$4="",0,IF($E19="kWh",VLOOKUP(L$4,'4. Billing Determinants'!$B$19:$N$41,4,0)/'4. Billing Determinants'!$E$41*$D19,IF($E19="kW",VLOOKUP(L$4,'4. Billing Determinants'!$B$19:$N$41,5,0)/'4. Billing Determinants'!$F$41*$D19,IF($E19="Non-RPP kWh",VLOOKUP(L$4,'4. Billing Determinants'!$B$19:$N$41,6,0)/'4. Billing Determinants'!$G$41*$D19,IF($E19="Distribution Rev.",VLOOKUP(L$4,'4. Billing Determinants'!$B$19:$N$41,8,0)/'4. Billing Determinants'!$I$41*$D19, VLOOKUP(L$4,'4. Billing Determinants'!$B$19:$N$41,3,0)/'4. Billing Determinants'!$D$41*$D19))))),0)</f>
        <v>0</v>
      </c>
      <c r="M19" s="75">
        <f>IFERROR(IF(M$4="",0,IF($E19="kWh",VLOOKUP(M$4,'4. Billing Determinants'!$B$19:$N$41,4,0)/'4. Billing Determinants'!$E$41*$D19,IF($E19="kW",VLOOKUP(M$4,'4. Billing Determinants'!$B$19:$N$41,5,0)/'4. Billing Determinants'!$F$41*$D19,IF($E19="Non-RPP kWh",VLOOKUP(M$4,'4. Billing Determinants'!$B$19:$N$41,6,0)/'4. Billing Determinants'!$G$41*$D19,IF($E19="Distribution Rev.",VLOOKUP(M$4,'4. Billing Determinants'!$B$19:$N$41,8,0)/'4. Billing Determinants'!$I$41*$D19, VLOOKUP(M$4,'4. Billing Determinants'!$B$19:$N$41,3,0)/'4. Billing Determinants'!$D$41*$D19))))),0)</f>
        <v>0</v>
      </c>
      <c r="N19" s="75">
        <f>IFERROR(IF(N$4="",0,IF($E19="kWh",VLOOKUP(N$4,'4. Billing Determinants'!$B$19:$N$41,4,0)/'4. Billing Determinants'!$E$41*$D19,IF($E19="kW",VLOOKUP(N$4,'4. Billing Determinants'!$B$19:$N$41,5,0)/'4. Billing Determinants'!$F$41*$D19,IF($E19="Non-RPP kWh",VLOOKUP(N$4,'4. Billing Determinants'!$B$19:$N$41,6,0)/'4. Billing Determinants'!$G$41*$D19,IF($E19="Distribution Rev.",VLOOKUP(N$4,'4. Billing Determinants'!$B$19:$N$41,8,0)/'4. Billing Determinants'!$I$41*$D19, VLOOKUP(N$4,'4. Billing Determinants'!$B$19:$N$41,3,0)/'4. Billing Determinants'!$D$41*$D19))))),0)</f>
        <v>0</v>
      </c>
      <c r="O19" s="75">
        <f>IFERROR(IF(O$4="",0,IF($E19="kWh",VLOOKUP(O$4,'4. Billing Determinants'!$B$19:$N$41,4,0)/'4. Billing Determinants'!$E$41*$D19,IF($E19="kW",VLOOKUP(O$4,'4. Billing Determinants'!$B$19:$N$41,5,0)/'4. Billing Determinants'!$F$41*$D19,IF($E19="Non-RPP kWh",VLOOKUP(O$4,'4. Billing Determinants'!$B$19:$N$41,6,0)/'4. Billing Determinants'!$G$41*$D19,IF($E19="Distribution Rev.",VLOOKUP(O$4,'4. Billing Determinants'!$B$19:$N$41,8,0)/'4. Billing Determinants'!$I$41*$D19, VLOOKUP(O$4,'4. Billing Determinants'!$B$19:$N$41,3,0)/'4. Billing Determinants'!$D$41*$D19))))),0)</f>
        <v>0</v>
      </c>
      <c r="P19" s="75">
        <f>IFERROR(IF(P$4="",0,IF($E19="kWh",VLOOKUP(P$4,'4. Billing Determinants'!$B$19:$N$41,4,0)/'4. Billing Determinants'!$E$41*$D19,IF($E19="kW",VLOOKUP(P$4,'4. Billing Determinants'!$B$19:$N$41,5,0)/'4. Billing Determinants'!$F$41*$D19,IF($E19="Non-RPP kWh",VLOOKUP(P$4,'4. Billing Determinants'!$B$19:$N$41,6,0)/'4. Billing Determinants'!$G$41*$D19,IF($E19="Distribution Rev.",VLOOKUP(P$4,'4. Billing Determinants'!$B$19:$N$41,8,0)/'4. Billing Determinants'!$I$41*$D19, VLOOKUP(P$4,'4. Billing Determinants'!$B$19:$N$41,3,0)/'4. Billing Determinants'!$D$41*$D19))))),0)</f>
        <v>0</v>
      </c>
      <c r="Q19" s="75">
        <f>IFERROR(IF(Q$4="",0,IF($E19="kWh",VLOOKUP(Q$4,'4. Billing Determinants'!$B$19:$N$41,4,0)/'4. Billing Determinants'!$E$41*$D19,IF($E19="kW",VLOOKUP(Q$4,'4. Billing Determinants'!$B$19:$N$41,5,0)/'4. Billing Determinants'!$F$41*$D19,IF($E19="Non-RPP kWh",VLOOKUP(Q$4,'4. Billing Determinants'!$B$19:$N$41,6,0)/'4. Billing Determinants'!$G$41*$D19,IF($E19="Distribution Rev.",VLOOKUP(Q$4,'4. Billing Determinants'!$B$19:$N$41,8,0)/'4. Billing Determinants'!$I$41*$D19, VLOOKUP(Q$4,'4. Billing Determinants'!$B$19:$N$41,3,0)/'4. Billing Determinants'!$D$41*$D19))))),0)</f>
        <v>0</v>
      </c>
      <c r="R19" s="75">
        <f>IFERROR(IF(R$4="",0,IF($E19="kWh",VLOOKUP(R$4,'4. Billing Determinants'!$B$19:$N$41,4,0)/'4. Billing Determinants'!$E$41*$D19,IF($E19="kW",VLOOKUP(R$4,'4. Billing Determinants'!$B$19:$N$41,5,0)/'4. Billing Determinants'!$F$41*$D19,IF($E19="Non-RPP kWh",VLOOKUP(R$4,'4. Billing Determinants'!$B$19:$N$41,6,0)/'4. Billing Determinants'!$G$41*$D19,IF($E19="Distribution Rev.",VLOOKUP(R$4,'4. Billing Determinants'!$B$19:$N$41,8,0)/'4. Billing Determinants'!$I$41*$D19, VLOOKUP(R$4,'4. Billing Determinants'!$B$19:$N$41,3,0)/'4. Billing Determinants'!$D$41*$D19))))),0)</f>
        <v>0</v>
      </c>
      <c r="S19" s="75">
        <f>IFERROR(IF(S$4="",0,IF($E19="kWh",VLOOKUP(S$4,'4. Billing Determinants'!$B$19:$N$41,4,0)/'4. Billing Determinants'!$E$41*$D19,IF($E19="kW",VLOOKUP(S$4,'4. Billing Determinants'!$B$19:$N$41,5,0)/'4. Billing Determinants'!$F$41*$D19,IF($E19="Non-RPP kWh",VLOOKUP(S$4,'4. Billing Determinants'!$B$19:$N$41,6,0)/'4. Billing Determinants'!$G$41*$D19,IF($E19="Distribution Rev.",VLOOKUP(S$4,'4. Billing Determinants'!$B$19:$N$41,8,0)/'4. Billing Determinants'!$I$41*$D19, VLOOKUP(S$4,'4. Billing Determinants'!$B$19:$N$41,3,0)/'4. Billing Determinants'!$D$41*$D19))))),0)</f>
        <v>0</v>
      </c>
      <c r="T19" s="75">
        <f>IFERROR(IF(T$4="",0,IF($E19="kWh",VLOOKUP(T$4,'4. Billing Determinants'!$B$19:$N$41,4,0)/'4. Billing Determinants'!$E$41*$D19,IF($E19="kW",VLOOKUP(T$4,'4. Billing Determinants'!$B$19:$N$41,5,0)/'4. Billing Determinants'!$F$41*$D19,IF($E19="Non-RPP kWh",VLOOKUP(T$4,'4. Billing Determinants'!$B$19:$N$41,6,0)/'4. Billing Determinants'!$G$41*$D19,IF($E19="Distribution Rev.",VLOOKUP(T$4,'4. Billing Determinants'!$B$19:$N$41,8,0)/'4. Billing Determinants'!$I$41*$D19, VLOOKUP(T$4,'4. Billing Determinants'!$B$19:$N$41,3,0)/'4. Billing Determinants'!$D$41*$D19))))),0)</f>
        <v>0</v>
      </c>
      <c r="U19" s="75">
        <f>IFERROR(IF(U$4="",0,IF($E19="kWh",VLOOKUP(U$4,'4. Billing Determinants'!$B$19:$N$41,4,0)/'4. Billing Determinants'!$E$41*$D19,IF($E19="kW",VLOOKUP(U$4,'4. Billing Determinants'!$B$19:$N$41,5,0)/'4. Billing Determinants'!$F$41*$D19,IF($E19="Non-RPP kWh",VLOOKUP(U$4,'4. Billing Determinants'!$B$19:$N$41,6,0)/'4. Billing Determinants'!$G$41*$D19,IF($E19="Distribution Rev.",VLOOKUP(U$4,'4. Billing Determinants'!$B$19:$N$41,8,0)/'4. Billing Determinants'!$I$41*$D19, VLOOKUP(U$4,'4. Billing Determinants'!$B$19:$N$41,3,0)/'4. Billing Determinants'!$D$41*$D19))))),0)</f>
        <v>0</v>
      </c>
      <c r="V19" s="75">
        <f>IFERROR(IF(V$4="",0,IF($E19="kWh",VLOOKUP(V$4,'4. Billing Determinants'!$B$19:$N$41,4,0)/'4. Billing Determinants'!$E$41*$D19,IF($E19="kW",VLOOKUP(V$4,'4. Billing Determinants'!$B$19:$N$41,5,0)/'4. Billing Determinants'!$F$41*$D19,IF($E19="Non-RPP kWh",VLOOKUP(V$4,'4. Billing Determinants'!$B$19:$N$41,6,0)/'4. Billing Determinants'!$G$41*$D19,IF($E19="Distribution Rev.",VLOOKUP(V$4,'4. Billing Determinants'!$B$19:$N$41,8,0)/'4. Billing Determinants'!$I$41*$D19, VLOOKUP(V$4,'4. Billing Determinants'!$B$19:$N$41,3,0)/'4. Billing Determinants'!$D$41*$D19))))),0)</f>
        <v>0</v>
      </c>
      <c r="W19" s="75">
        <f>IFERROR(IF(W$4="",0,IF($E19="kWh",VLOOKUP(W$4,'4. Billing Determinants'!$B$19:$N$41,4,0)/'4. Billing Determinants'!$E$41*$D19,IF($E19="kW",VLOOKUP(W$4,'4. Billing Determinants'!$B$19:$N$41,5,0)/'4. Billing Determinants'!$F$41*$D19,IF($E19="Non-RPP kWh",VLOOKUP(W$4,'4. Billing Determinants'!$B$19:$N$41,6,0)/'4. Billing Determinants'!$G$41*$D19,IF($E19="Distribution Rev.",VLOOKUP(W$4,'4. Billing Determinants'!$B$19:$N$41,8,0)/'4. Billing Determinants'!$I$41*$D19, VLOOKUP(W$4,'4. Billing Determinants'!$B$19:$N$41,3,0)/'4. Billing Determinants'!$D$41*$D19))))),0)</f>
        <v>0</v>
      </c>
      <c r="X19" s="75">
        <f>IFERROR(IF(X$4="",0,IF($E19="kWh",VLOOKUP(X$4,'4. Billing Determinants'!$B$19:$N$41,4,0)/'4. Billing Determinants'!$E$41*$D19,IF($E19="kW",VLOOKUP(X$4,'4. Billing Determinants'!$B$19:$N$41,5,0)/'4. Billing Determinants'!$F$41*$D19,IF($E19="Non-RPP kWh",VLOOKUP(X$4,'4. Billing Determinants'!$B$19:$N$41,6,0)/'4. Billing Determinants'!$G$41*$D19,IF($E19="Distribution Rev.",VLOOKUP(X$4,'4. Billing Determinants'!$B$19:$N$41,8,0)/'4. Billing Determinants'!$I$41*$D19, VLOOKUP(X$4,'4. Billing Determinants'!$B$19:$N$41,3,0)/'4. Billing Determinants'!$D$41*$D19))))),0)</f>
        <v>0</v>
      </c>
      <c r="Y19" s="75">
        <f>IFERROR(IF(Y$4="",0,IF($E19="kWh",VLOOKUP(Y$4,'4. Billing Determinants'!$B$19:$N$41,4,0)/'4. Billing Determinants'!$E$41*$D19,IF($E19="kW",VLOOKUP(Y$4,'4. Billing Determinants'!$B$19:$N$41,5,0)/'4. Billing Determinants'!$F$41*$D19,IF($E19="Non-RPP kWh",VLOOKUP(Y$4,'4. Billing Determinants'!$B$19:$N$41,6,0)/'4. Billing Determinants'!$G$41*$D19,IF($E19="Distribution Rev.",VLOOKUP(Y$4,'4. Billing Determinants'!$B$19:$N$41,8,0)/'4. Billing Determinants'!$I$41*$D19, VLOOKUP(Y$4,'4. Billing Determinants'!$B$19:$N$41,3,0)/'4. Billing Determinants'!$D$41*$D19))))),0)</f>
        <v>0</v>
      </c>
    </row>
    <row r="20" spans="2:25" x14ac:dyDescent="0.2">
      <c r="B20" s="73" t="s">
        <v>67</v>
      </c>
      <c r="C20" s="74">
        <v>1508</v>
      </c>
      <c r="D20" s="75">
        <f>'2. 2013 Continuity Schedule'!CP43</f>
        <v>0</v>
      </c>
      <c r="E20" s="208"/>
      <c r="F20" s="75">
        <f>IFERROR(IF(F$4="",0,IF($E20="kWh",VLOOKUP(F$4,'4. Billing Determinants'!$B$19:$N$41,4,0)/'4. Billing Determinants'!$E$41*$D20,IF($E20="kW",VLOOKUP(F$4,'4. Billing Determinants'!$B$19:$N$41,5,0)/'4. Billing Determinants'!$F$41*$D20,IF($E20="Non-RPP kWh",VLOOKUP(F$4,'4. Billing Determinants'!$B$19:$N$41,6,0)/'4. Billing Determinants'!$G$41*$D20,IF($E20="Distribution Rev.",VLOOKUP(F$4,'4. Billing Determinants'!$B$19:$N$41,8,0)/'4. Billing Determinants'!$I$41*$D20, VLOOKUP(F$4,'4. Billing Determinants'!$B$19:$N$41,3,0)/'4. Billing Determinants'!$D$41*$D20))))),0)</f>
        <v>0</v>
      </c>
      <c r="G20" s="75">
        <f>IFERROR(IF(G$4="",0,IF($E20="kWh",VLOOKUP(G$4,'4. Billing Determinants'!$B$19:$N$41,4,0)/'4. Billing Determinants'!$E$41*$D20,IF($E20="kW",VLOOKUP(G$4,'4. Billing Determinants'!$B$19:$N$41,5,0)/'4. Billing Determinants'!$F$41*$D20,IF($E20="Non-RPP kWh",VLOOKUP(G$4,'4. Billing Determinants'!$B$19:$N$41,6,0)/'4. Billing Determinants'!$G$41*$D20,IF($E20="Distribution Rev.",VLOOKUP(G$4,'4. Billing Determinants'!$B$19:$N$41,8,0)/'4. Billing Determinants'!$I$41*$D20, VLOOKUP(G$4,'4. Billing Determinants'!$B$19:$N$41,3,0)/'4. Billing Determinants'!$D$41*$D20))))),0)</f>
        <v>0</v>
      </c>
      <c r="H20" s="75">
        <f>IFERROR(IF(H$4="",0,IF($E20="kWh",VLOOKUP(H$4,'4. Billing Determinants'!$B$19:$N$41,4,0)/'4. Billing Determinants'!$E$41*$D20,IF($E20="kW",VLOOKUP(H$4,'4. Billing Determinants'!$B$19:$N$41,5,0)/'4. Billing Determinants'!$F$41*$D20,IF($E20="Non-RPP kWh",VLOOKUP(H$4,'4. Billing Determinants'!$B$19:$N$41,6,0)/'4. Billing Determinants'!$G$41*$D20,IF($E20="Distribution Rev.",VLOOKUP(H$4,'4. Billing Determinants'!$B$19:$N$41,8,0)/'4. Billing Determinants'!$I$41*$D20, VLOOKUP(H$4,'4. Billing Determinants'!$B$19:$N$41,3,0)/'4. Billing Determinants'!$D$41*$D20))))),0)</f>
        <v>0</v>
      </c>
      <c r="I20" s="75">
        <f>IFERROR(IF(I$4="",0,IF($E20="kWh",VLOOKUP(I$4,'4. Billing Determinants'!$B$19:$N$41,4,0)/'4. Billing Determinants'!$E$41*$D20,IF($E20="kW",VLOOKUP(I$4,'4. Billing Determinants'!$B$19:$N$41,5,0)/'4. Billing Determinants'!$F$41*$D20,IF($E20="Non-RPP kWh",VLOOKUP(I$4,'4. Billing Determinants'!$B$19:$N$41,6,0)/'4. Billing Determinants'!$G$41*$D20,IF($E20="Distribution Rev.",VLOOKUP(I$4,'4. Billing Determinants'!$B$19:$N$41,8,0)/'4. Billing Determinants'!$I$41*$D20, VLOOKUP(I$4,'4. Billing Determinants'!$B$19:$N$41,3,0)/'4. Billing Determinants'!$D$41*$D20))))),0)</f>
        <v>0</v>
      </c>
      <c r="J20" s="75">
        <f>IFERROR(IF(J$4="",0,IF($E20="kWh",VLOOKUP(J$4,'4. Billing Determinants'!$B$19:$N$41,4,0)/'4. Billing Determinants'!$E$41*$D20,IF($E20="kW",VLOOKUP(J$4,'4. Billing Determinants'!$B$19:$N$41,5,0)/'4. Billing Determinants'!$F$41*$D20,IF($E20="Non-RPP kWh",VLOOKUP(J$4,'4. Billing Determinants'!$B$19:$N$41,6,0)/'4. Billing Determinants'!$G$41*$D20,IF($E20="Distribution Rev.",VLOOKUP(J$4,'4. Billing Determinants'!$B$19:$N$41,8,0)/'4. Billing Determinants'!$I$41*$D20, VLOOKUP(J$4,'4. Billing Determinants'!$B$19:$N$41,3,0)/'4. Billing Determinants'!$D$41*$D20))))),0)</f>
        <v>0</v>
      </c>
      <c r="K20" s="75">
        <f>IFERROR(IF(K$4="",0,IF($E20="kWh",VLOOKUP(K$4,'4. Billing Determinants'!$B$19:$N$41,4,0)/'4. Billing Determinants'!$E$41*$D20,IF($E20="kW",VLOOKUP(K$4,'4. Billing Determinants'!$B$19:$N$41,5,0)/'4. Billing Determinants'!$F$41*$D20,IF($E20="Non-RPP kWh",VLOOKUP(K$4,'4. Billing Determinants'!$B$19:$N$41,6,0)/'4. Billing Determinants'!$G$41*$D20,IF($E20="Distribution Rev.",VLOOKUP(K$4,'4. Billing Determinants'!$B$19:$N$41,8,0)/'4. Billing Determinants'!$I$41*$D20, VLOOKUP(K$4,'4. Billing Determinants'!$B$19:$N$41,3,0)/'4. Billing Determinants'!$D$41*$D20))))),0)</f>
        <v>0</v>
      </c>
      <c r="L20" s="75">
        <f>IFERROR(IF(L$4="",0,IF($E20="kWh",VLOOKUP(L$4,'4. Billing Determinants'!$B$19:$N$41,4,0)/'4. Billing Determinants'!$E$41*$D20,IF($E20="kW",VLOOKUP(L$4,'4. Billing Determinants'!$B$19:$N$41,5,0)/'4. Billing Determinants'!$F$41*$D20,IF($E20="Non-RPP kWh",VLOOKUP(L$4,'4. Billing Determinants'!$B$19:$N$41,6,0)/'4. Billing Determinants'!$G$41*$D20,IF($E20="Distribution Rev.",VLOOKUP(L$4,'4. Billing Determinants'!$B$19:$N$41,8,0)/'4. Billing Determinants'!$I$41*$D20, VLOOKUP(L$4,'4. Billing Determinants'!$B$19:$N$41,3,0)/'4. Billing Determinants'!$D$41*$D20))))),0)</f>
        <v>0</v>
      </c>
      <c r="M20" s="75">
        <f>IFERROR(IF(M$4="",0,IF($E20="kWh",VLOOKUP(M$4,'4. Billing Determinants'!$B$19:$N$41,4,0)/'4. Billing Determinants'!$E$41*$D20,IF($E20="kW",VLOOKUP(M$4,'4. Billing Determinants'!$B$19:$N$41,5,0)/'4. Billing Determinants'!$F$41*$D20,IF($E20="Non-RPP kWh",VLOOKUP(M$4,'4. Billing Determinants'!$B$19:$N$41,6,0)/'4. Billing Determinants'!$G$41*$D20,IF($E20="Distribution Rev.",VLOOKUP(M$4,'4. Billing Determinants'!$B$19:$N$41,8,0)/'4. Billing Determinants'!$I$41*$D20, VLOOKUP(M$4,'4. Billing Determinants'!$B$19:$N$41,3,0)/'4. Billing Determinants'!$D$41*$D20))))),0)</f>
        <v>0</v>
      </c>
      <c r="N20" s="75">
        <f>IFERROR(IF(N$4="",0,IF($E20="kWh",VLOOKUP(N$4,'4. Billing Determinants'!$B$19:$N$41,4,0)/'4. Billing Determinants'!$E$41*$D20,IF($E20="kW",VLOOKUP(N$4,'4. Billing Determinants'!$B$19:$N$41,5,0)/'4. Billing Determinants'!$F$41*$D20,IF($E20="Non-RPP kWh",VLOOKUP(N$4,'4. Billing Determinants'!$B$19:$N$41,6,0)/'4. Billing Determinants'!$G$41*$D20,IF($E20="Distribution Rev.",VLOOKUP(N$4,'4. Billing Determinants'!$B$19:$N$41,8,0)/'4. Billing Determinants'!$I$41*$D20, VLOOKUP(N$4,'4. Billing Determinants'!$B$19:$N$41,3,0)/'4. Billing Determinants'!$D$41*$D20))))),0)</f>
        <v>0</v>
      </c>
      <c r="O20" s="75">
        <f>IFERROR(IF(O$4="",0,IF($E20="kWh",VLOOKUP(O$4,'4. Billing Determinants'!$B$19:$N$41,4,0)/'4. Billing Determinants'!$E$41*$D20,IF($E20="kW",VLOOKUP(O$4,'4. Billing Determinants'!$B$19:$N$41,5,0)/'4. Billing Determinants'!$F$41*$D20,IF($E20="Non-RPP kWh",VLOOKUP(O$4,'4. Billing Determinants'!$B$19:$N$41,6,0)/'4. Billing Determinants'!$G$41*$D20,IF($E20="Distribution Rev.",VLOOKUP(O$4,'4. Billing Determinants'!$B$19:$N$41,8,0)/'4. Billing Determinants'!$I$41*$D20, VLOOKUP(O$4,'4. Billing Determinants'!$B$19:$N$41,3,0)/'4. Billing Determinants'!$D$41*$D20))))),0)</f>
        <v>0</v>
      </c>
      <c r="P20" s="75">
        <f>IFERROR(IF(P$4="",0,IF($E20="kWh",VLOOKUP(P$4,'4. Billing Determinants'!$B$19:$N$41,4,0)/'4. Billing Determinants'!$E$41*$D20,IF($E20="kW",VLOOKUP(P$4,'4. Billing Determinants'!$B$19:$N$41,5,0)/'4. Billing Determinants'!$F$41*$D20,IF($E20="Non-RPP kWh",VLOOKUP(P$4,'4. Billing Determinants'!$B$19:$N$41,6,0)/'4. Billing Determinants'!$G$41*$D20,IF($E20="Distribution Rev.",VLOOKUP(P$4,'4. Billing Determinants'!$B$19:$N$41,8,0)/'4. Billing Determinants'!$I$41*$D20, VLOOKUP(P$4,'4. Billing Determinants'!$B$19:$N$41,3,0)/'4. Billing Determinants'!$D$41*$D20))))),0)</f>
        <v>0</v>
      </c>
      <c r="Q20" s="75">
        <f>IFERROR(IF(Q$4="",0,IF($E20="kWh",VLOOKUP(Q$4,'4. Billing Determinants'!$B$19:$N$41,4,0)/'4. Billing Determinants'!$E$41*$D20,IF($E20="kW",VLOOKUP(Q$4,'4. Billing Determinants'!$B$19:$N$41,5,0)/'4. Billing Determinants'!$F$41*$D20,IF($E20="Non-RPP kWh",VLOOKUP(Q$4,'4. Billing Determinants'!$B$19:$N$41,6,0)/'4. Billing Determinants'!$G$41*$D20,IF($E20="Distribution Rev.",VLOOKUP(Q$4,'4. Billing Determinants'!$B$19:$N$41,8,0)/'4. Billing Determinants'!$I$41*$D20, VLOOKUP(Q$4,'4. Billing Determinants'!$B$19:$N$41,3,0)/'4. Billing Determinants'!$D$41*$D20))))),0)</f>
        <v>0</v>
      </c>
      <c r="R20" s="75">
        <f>IFERROR(IF(R$4="",0,IF($E20="kWh",VLOOKUP(R$4,'4. Billing Determinants'!$B$19:$N$41,4,0)/'4. Billing Determinants'!$E$41*$D20,IF($E20="kW",VLOOKUP(R$4,'4. Billing Determinants'!$B$19:$N$41,5,0)/'4. Billing Determinants'!$F$41*$D20,IF($E20="Non-RPP kWh",VLOOKUP(R$4,'4. Billing Determinants'!$B$19:$N$41,6,0)/'4. Billing Determinants'!$G$41*$D20,IF($E20="Distribution Rev.",VLOOKUP(R$4,'4. Billing Determinants'!$B$19:$N$41,8,0)/'4. Billing Determinants'!$I$41*$D20, VLOOKUP(R$4,'4. Billing Determinants'!$B$19:$N$41,3,0)/'4. Billing Determinants'!$D$41*$D20))))),0)</f>
        <v>0</v>
      </c>
      <c r="S20" s="75">
        <f>IFERROR(IF(S$4="",0,IF($E20="kWh",VLOOKUP(S$4,'4. Billing Determinants'!$B$19:$N$41,4,0)/'4. Billing Determinants'!$E$41*$D20,IF($E20="kW",VLOOKUP(S$4,'4. Billing Determinants'!$B$19:$N$41,5,0)/'4. Billing Determinants'!$F$41*$D20,IF($E20="Non-RPP kWh",VLOOKUP(S$4,'4. Billing Determinants'!$B$19:$N$41,6,0)/'4. Billing Determinants'!$G$41*$D20,IF($E20="Distribution Rev.",VLOOKUP(S$4,'4. Billing Determinants'!$B$19:$N$41,8,0)/'4. Billing Determinants'!$I$41*$D20, VLOOKUP(S$4,'4. Billing Determinants'!$B$19:$N$41,3,0)/'4. Billing Determinants'!$D$41*$D20))))),0)</f>
        <v>0</v>
      </c>
      <c r="T20" s="75">
        <f>IFERROR(IF(T$4="",0,IF($E20="kWh",VLOOKUP(T$4,'4. Billing Determinants'!$B$19:$N$41,4,0)/'4. Billing Determinants'!$E$41*$D20,IF($E20="kW",VLOOKUP(T$4,'4. Billing Determinants'!$B$19:$N$41,5,0)/'4. Billing Determinants'!$F$41*$D20,IF($E20="Non-RPP kWh",VLOOKUP(T$4,'4. Billing Determinants'!$B$19:$N$41,6,0)/'4. Billing Determinants'!$G$41*$D20,IF($E20="Distribution Rev.",VLOOKUP(T$4,'4. Billing Determinants'!$B$19:$N$41,8,0)/'4. Billing Determinants'!$I$41*$D20, VLOOKUP(T$4,'4. Billing Determinants'!$B$19:$N$41,3,0)/'4. Billing Determinants'!$D$41*$D20))))),0)</f>
        <v>0</v>
      </c>
      <c r="U20" s="75">
        <f>IFERROR(IF(U$4="",0,IF($E20="kWh",VLOOKUP(U$4,'4. Billing Determinants'!$B$19:$N$41,4,0)/'4. Billing Determinants'!$E$41*$D20,IF($E20="kW",VLOOKUP(U$4,'4. Billing Determinants'!$B$19:$N$41,5,0)/'4. Billing Determinants'!$F$41*$D20,IF($E20="Non-RPP kWh",VLOOKUP(U$4,'4. Billing Determinants'!$B$19:$N$41,6,0)/'4. Billing Determinants'!$G$41*$D20,IF($E20="Distribution Rev.",VLOOKUP(U$4,'4. Billing Determinants'!$B$19:$N$41,8,0)/'4. Billing Determinants'!$I$41*$D20, VLOOKUP(U$4,'4. Billing Determinants'!$B$19:$N$41,3,0)/'4. Billing Determinants'!$D$41*$D20))))),0)</f>
        <v>0</v>
      </c>
      <c r="V20" s="75">
        <f>IFERROR(IF(V$4="",0,IF($E20="kWh",VLOOKUP(V$4,'4. Billing Determinants'!$B$19:$N$41,4,0)/'4. Billing Determinants'!$E$41*$D20,IF($E20="kW",VLOOKUP(V$4,'4. Billing Determinants'!$B$19:$N$41,5,0)/'4. Billing Determinants'!$F$41*$D20,IF($E20="Non-RPP kWh",VLOOKUP(V$4,'4. Billing Determinants'!$B$19:$N$41,6,0)/'4. Billing Determinants'!$G$41*$D20,IF($E20="Distribution Rev.",VLOOKUP(V$4,'4. Billing Determinants'!$B$19:$N$41,8,0)/'4. Billing Determinants'!$I$41*$D20, VLOOKUP(V$4,'4. Billing Determinants'!$B$19:$N$41,3,0)/'4. Billing Determinants'!$D$41*$D20))))),0)</f>
        <v>0</v>
      </c>
      <c r="W20" s="75">
        <f>IFERROR(IF(W$4="",0,IF($E20="kWh",VLOOKUP(W$4,'4. Billing Determinants'!$B$19:$N$41,4,0)/'4. Billing Determinants'!$E$41*$D20,IF($E20="kW",VLOOKUP(W$4,'4. Billing Determinants'!$B$19:$N$41,5,0)/'4. Billing Determinants'!$F$41*$D20,IF($E20="Non-RPP kWh",VLOOKUP(W$4,'4. Billing Determinants'!$B$19:$N$41,6,0)/'4. Billing Determinants'!$G$41*$D20,IF($E20="Distribution Rev.",VLOOKUP(W$4,'4. Billing Determinants'!$B$19:$N$41,8,0)/'4. Billing Determinants'!$I$41*$D20, VLOOKUP(W$4,'4. Billing Determinants'!$B$19:$N$41,3,0)/'4. Billing Determinants'!$D$41*$D20))))),0)</f>
        <v>0</v>
      </c>
      <c r="X20" s="75">
        <f>IFERROR(IF(X$4="",0,IF($E20="kWh",VLOOKUP(X$4,'4. Billing Determinants'!$B$19:$N$41,4,0)/'4. Billing Determinants'!$E$41*$D20,IF($E20="kW",VLOOKUP(X$4,'4. Billing Determinants'!$B$19:$N$41,5,0)/'4. Billing Determinants'!$F$41*$D20,IF($E20="Non-RPP kWh",VLOOKUP(X$4,'4. Billing Determinants'!$B$19:$N$41,6,0)/'4. Billing Determinants'!$G$41*$D20,IF($E20="Distribution Rev.",VLOOKUP(X$4,'4. Billing Determinants'!$B$19:$N$41,8,0)/'4. Billing Determinants'!$I$41*$D20, VLOOKUP(X$4,'4. Billing Determinants'!$B$19:$N$41,3,0)/'4. Billing Determinants'!$D$41*$D20))))),0)</f>
        <v>0</v>
      </c>
      <c r="Y20" s="75">
        <f>IFERROR(IF(Y$4="",0,IF($E20="kWh",VLOOKUP(Y$4,'4. Billing Determinants'!$B$19:$N$41,4,0)/'4. Billing Determinants'!$E$41*$D20,IF($E20="kW",VLOOKUP(Y$4,'4. Billing Determinants'!$B$19:$N$41,5,0)/'4. Billing Determinants'!$F$41*$D20,IF($E20="Non-RPP kWh",VLOOKUP(Y$4,'4. Billing Determinants'!$B$19:$N$41,6,0)/'4. Billing Determinants'!$G$41*$D20,IF($E20="Distribution Rev.",VLOOKUP(Y$4,'4. Billing Determinants'!$B$19:$N$41,8,0)/'4. Billing Determinants'!$I$41*$D20, VLOOKUP(Y$4,'4. Billing Determinants'!$B$19:$N$41,3,0)/'4. Billing Determinants'!$D$41*$D20))))),0)</f>
        <v>0</v>
      </c>
    </row>
    <row r="21" spans="2:25" x14ac:dyDescent="0.2">
      <c r="B21" s="73" t="s">
        <v>68</v>
      </c>
      <c r="C21" s="74">
        <v>1508</v>
      </c>
      <c r="D21" s="75">
        <f>'2. 2013 Continuity Schedule'!CP44</f>
        <v>6284.76</v>
      </c>
      <c r="E21" s="208" t="s">
        <v>309</v>
      </c>
      <c r="F21" s="75">
        <f>IFERROR(IF(F$4="",0,IF($E21="kWh",VLOOKUP(F$4,'4. Billing Determinants'!$B$19:$N$41,4,0)/'4. Billing Determinants'!$E$41*$D21,IF($E21="kW",VLOOKUP(F$4,'4. Billing Determinants'!$B$19:$N$41,5,0)/'4. Billing Determinants'!$F$41*$D21,IF($E21="Non-RPP kWh",VLOOKUP(F$4,'4. Billing Determinants'!$B$19:$N$41,6,0)/'4. Billing Determinants'!$G$41*$D21,IF($E21="Distribution Rev.",VLOOKUP(F$4,'4. Billing Determinants'!$B$19:$N$41,8,0)/'4. Billing Determinants'!$I$41*$D21, VLOOKUP(F$4,'4. Billing Determinants'!$B$19:$N$41,3,0)/'4. Billing Determinants'!$D$41*$D21))))),0)</f>
        <v>4306.4506704895666</v>
      </c>
      <c r="G21" s="75">
        <f>IFERROR(IF(G$4="",0,IF($E21="kWh",VLOOKUP(G$4,'4. Billing Determinants'!$B$19:$N$41,4,0)/'4. Billing Determinants'!$E$41*$D21,IF($E21="kW",VLOOKUP(G$4,'4. Billing Determinants'!$B$19:$N$41,5,0)/'4. Billing Determinants'!$F$41*$D21,IF($E21="Non-RPP kWh",VLOOKUP(G$4,'4. Billing Determinants'!$B$19:$N$41,6,0)/'4. Billing Determinants'!$G$41*$D21,IF($E21="Distribution Rev.",VLOOKUP(G$4,'4. Billing Determinants'!$B$19:$N$41,8,0)/'4. Billing Determinants'!$I$41*$D21, VLOOKUP(G$4,'4. Billing Determinants'!$B$19:$N$41,3,0)/'4. Billing Determinants'!$D$41*$D21))))),0)</f>
        <v>954.68970907132848</v>
      </c>
      <c r="H21" s="75">
        <f>IFERROR(IF(H$4="",0,IF($E21="kWh",VLOOKUP(H$4,'4. Billing Determinants'!$B$19:$N$41,4,0)/'4. Billing Determinants'!$E$41*$D21,IF($E21="kW",VLOOKUP(H$4,'4. Billing Determinants'!$B$19:$N$41,5,0)/'4. Billing Determinants'!$F$41*$D21,IF($E21="Non-RPP kWh",VLOOKUP(H$4,'4. Billing Determinants'!$B$19:$N$41,6,0)/'4. Billing Determinants'!$G$41*$D21,IF($E21="Distribution Rev.",VLOOKUP(H$4,'4. Billing Determinants'!$B$19:$N$41,8,0)/'4. Billing Determinants'!$I$41*$D21, VLOOKUP(H$4,'4. Billing Determinants'!$B$19:$N$41,3,0)/'4. Billing Determinants'!$D$41*$D21))))),0)</f>
        <v>791.64817712035585</v>
      </c>
      <c r="I21" s="75">
        <f>IFERROR(IF(I$4="",0,IF($E21="kWh",VLOOKUP(I$4,'4. Billing Determinants'!$B$19:$N$41,4,0)/'4. Billing Determinants'!$E$41*$D21,IF($E21="kW",VLOOKUP(I$4,'4. Billing Determinants'!$B$19:$N$41,5,0)/'4. Billing Determinants'!$F$41*$D21,IF($E21="Non-RPP kWh",VLOOKUP(I$4,'4. Billing Determinants'!$B$19:$N$41,6,0)/'4. Billing Determinants'!$G$41*$D21,IF($E21="Distribution Rev.",VLOOKUP(I$4,'4. Billing Determinants'!$B$19:$N$41,8,0)/'4. Billing Determinants'!$I$41*$D21, VLOOKUP(I$4,'4. Billing Determinants'!$B$19:$N$41,3,0)/'4. Billing Determinants'!$D$41*$D21))))),0)</f>
        <v>62.859005360751979</v>
      </c>
      <c r="J21" s="75">
        <f>IFERROR(IF(J$4="",0,IF($E21="kWh",VLOOKUP(J$4,'4. Billing Determinants'!$B$19:$N$41,4,0)/'4. Billing Determinants'!$E$41*$D21,IF($E21="kW",VLOOKUP(J$4,'4. Billing Determinants'!$B$19:$N$41,5,0)/'4. Billing Determinants'!$F$41*$D21,IF($E21="Non-RPP kWh",VLOOKUP(J$4,'4. Billing Determinants'!$B$19:$N$41,6,0)/'4. Billing Determinants'!$G$41*$D21,IF($E21="Distribution Rev.",VLOOKUP(J$4,'4. Billing Determinants'!$B$19:$N$41,8,0)/'4. Billing Determinants'!$I$41*$D21, VLOOKUP(J$4,'4. Billing Determinants'!$B$19:$N$41,3,0)/'4. Billing Determinants'!$D$41*$D21))))),0)</f>
        <v>160.24130447775102</v>
      </c>
      <c r="K21" s="75">
        <f>IFERROR(IF(K$4="",0,IF($E21="kWh",VLOOKUP(K$4,'4. Billing Determinants'!$B$19:$N$41,4,0)/'4. Billing Determinants'!$E$41*$D21,IF($E21="kW",VLOOKUP(K$4,'4. Billing Determinants'!$B$19:$N$41,5,0)/'4. Billing Determinants'!$F$41*$D21,IF($E21="Non-RPP kWh",VLOOKUP(K$4,'4. Billing Determinants'!$B$19:$N$41,6,0)/'4. Billing Determinants'!$G$41*$D21,IF($E21="Distribution Rev.",VLOOKUP(K$4,'4. Billing Determinants'!$B$19:$N$41,8,0)/'4. Billing Determinants'!$I$41*$D21, VLOOKUP(K$4,'4. Billing Determinants'!$B$19:$N$41,3,0)/'4. Billing Determinants'!$D$41*$D21))))),0)</f>
        <v>8.8711334802461028</v>
      </c>
      <c r="L21" s="75">
        <f>IFERROR(IF(L$4="",0,IF($E21="kWh",VLOOKUP(L$4,'4. Billing Determinants'!$B$19:$N$41,4,0)/'4. Billing Determinants'!$E$41*$D21,IF($E21="kW",VLOOKUP(L$4,'4. Billing Determinants'!$B$19:$N$41,5,0)/'4. Billing Determinants'!$F$41*$D21,IF($E21="Non-RPP kWh",VLOOKUP(L$4,'4. Billing Determinants'!$B$19:$N$41,6,0)/'4. Billing Determinants'!$G$41*$D21,IF($E21="Distribution Rev.",VLOOKUP(L$4,'4. Billing Determinants'!$B$19:$N$41,8,0)/'4. Billing Determinants'!$I$41*$D21, VLOOKUP(L$4,'4. Billing Determinants'!$B$19:$N$41,3,0)/'4. Billing Determinants'!$D$41*$D21))))),0)</f>
        <v>0</v>
      </c>
      <c r="M21" s="75">
        <f>IFERROR(IF(M$4="",0,IF($E21="kWh",VLOOKUP(M$4,'4. Billing Determinants'!$B$19:$N$41,4,0)/'4. Billing Determinants'!$E$41*$D21,IF($E21="kW",VLOOKUP(M$4,'4. Billing Determinants'!$B$19:$N$41,5,0)/'4. Billing Determinants'!$F$41*$D21,IF($E21="Non-RPP kWh",VLOOKUP(M$4,'4. Billing Determinants'!$B$19:$N$41,6,0)/'4. Billing Determinants'!$G$41*$D21,IF($E21="Distribution Rev.",VLOOKUP(M$4,'4. Billing Determinants'!$B$19:$N$41,8,0)/'4. Billing Determinants'!$I$41*$D21, VLOOKUP(M$4,'4. Billing Determinants'!$B$19:$N$41,3,0)/'4. Billing Determinants'!$D$41*$D21))))),0)</f>
        <v>0</v>
      </c>
      <c r="N21" s="75">
        <f>IFERROR(IF(N$4="",0,IF($E21="kWh",VLOOKUP(N$4,'4. Billing Determinants'!$B$19:$N$41,4,0)/'4. Billing Determinants'!$E$41*$D21,IF($E21="kW",VLOOKUP(N$4,'4. Billing Determinants'!$B$19:$N$41,5,0)/'4. Billing Determinants'!$F$41*$D21,IF($E21="Non-RPP kWh",VLOOKUP(N$4,'4. Billing Determinants'!$B$19:$N$41,6,0)/'4. Billing Determinants'!$G$41*$D21,IF($E21="Distribution Rev.",VLOOKUP(N$4,'4. Billing Determinants'!$B$19:$N$41,8,0)/'4. Billing Determinants'!$I$41*$D21, VLOOKUP(N$4,'4. Billing Determinants'!$B$19:$N$41,3,0)/'4. Billing Determinants'!$D$41*$D21))))),0)</f>
        <v>0</v>
      </c>
      <c r="O21" s="75">
        <f>IFERROR(IF(O$4="",0,IF($E21="kWh",VLOOKUP(O$4,'4. Billing Determinants'!$B$19:$N$41,4,0)/'4. Billing Determinants'!$E$41*$D21,IF($E21="kW",VLOOKUP(O$4,'4. Billing Determinants'!$B$19:$N$41,5,0)/'4. Billing Determinants'!$F$41*$D21,IF($E21="Non-RPP kWh",VLOOKUP(O$4,'4. Billing Determinants'!$B$19:$N$41,6,0)/'4. Billing Determinants'!$G$41*$D21,IF($E21="Distribution Rev.",VLOOKUP(O$4,'4. Billing Determinants'!$B$19:$N$41,8,0)/'4. Billing Determinants'!$I$41*$D21, VLOOKUP(O$4,'4. Billing Determinants'!$B$19:$N$41,3,0)/'4. Billing Determinants'!$D$41*$D21))))),0)</f>
        <v>0</v>
      </c>
      <c r="P21" s="75">
        <f>IFERROR(IF(P$4="",0,IF($E21="kWh",VLOOKUP(P$4,'4. Billing Determinants'!$B$19:$N$41,4,0)/'4. Billing Determinants'!$E$41*$D21,IF($E21="kW",VLOOKUP(P$4,'4. Billing Determinants'!$B$19:$N$41,5,0)/'4. Billing Determinants'!$F$41*$D21,IF($E21="Non-RPP kWh",VLOOKUP(P$4,'4. Billing Determinants'!$B$19:$N$41,6,0)/'4. Billing Determinants'!$G$41*$D21,IF($E21="Distribution Rev.",VLOOKUP(P$4,'4. Billing Determinants'!$B$19:$N$41,8,0)/'4. Billing Determinants'!$I$41*$D21, VLOOKUP(P$4,'4. Billing Determinants'!$B$19:$N$41,3,0)/'4. Billing Determinants'!$D$41*$D21))))),0)</f>
        <v>0</v>
      </c>
      <c r="Q21" s="75">
        <f>IFERROR(IF(Q$4="",0,IF($E21="kWh",VLOOKUP(Q$4,'4. Billing Determinants'!$B$19:$N$41,4,0)/'4. Billing Determinants'!$E$41*$D21,IF($E21="kW",VLOOKUP(Q$4,'4. Billing Determinants'!$B$19:$N$41,5,0)/'4. Billing Determinants'!$F$41*$D21,IF($E21="Non-RPP kWh",VLOOKUP(Q$4,'4. Billing Determinants'!$B$19:$N$41,6,0)/'4. Billing Determinants'!$G$41*$D21,IF($E21="Distribution Rev.",VLOOKUP(Q$4,'4. Billing Determinants'!$B$19:$N$41,8,0)/'4. Billing Determinants'!$I$41*$D21, VLOOKUP(Q$4,'4. Billing Determinants'!$B$19:$N$41,3,0)/'4. Billing Determinants'!$D$41*$D21))))),0)</f>
        <v>0</v>
      </c>
      <c r="R21" s="75">
        <f>IFERROR(IF(R$4="",0,IF($E21="kWh",VLOOKUP(R$4,'4. Billing Determinants'!$B$19:$N$41,4,0)/'4. Billing Determinants'!$E$41*$D21,IF($E21="kW",VLOOKUP(R$4,'4. Billing Determinants'!$B$19:$N$41,5,0)/'4. Billing Determinants'!$F$41*$D21,IF($E21="Non-RPP kWh",VLOOKUP(R$4,'4. Billing Determinants'!$B$19:$N$41,6,0)/'4. Billing Determinants'!$G$41*$D21,IF($E21="Distribution Rev.",VLOOKUP(R$4,'4. Billing Determinants'!$B$19:$N$41,8,0)/'4. Billing Determinants'!$I$41*$D21, VLOOKUP(R$4,'4. Billing Determinants'!$B$19:$N$41,3,0)/'4. Billing Determinants'!$D$41*$D21))))),0)</f>
        <v>0</v>
      </c>
      <c r="S21" s="75">
        <f>IFERROR(IF(S$4="",0,IF($E21="kWh",VLOOKUP(S$4,'4. Billing Determinants'!$B$19:$N$41,4,0)/'4. Billing Determinants'!$E$41*$D21,IF($E21="kW",VLOOKUP(S$4,'4. Billing Determinants'!$B$19:$N$41,5,0)/'4. Billing Determinants'!$F$41*$D21,IF($E21="Non-RPP kWh",VLOOKUP(S$4,'4. Billing Determinants'!$B$19:$N$41,6,0)/'4. Billing Determinants'!$G$41*$D21,IF($E21="Distribution Rev.",VLOOKUP(S$4,'4. Billing Determinants'!$B$19:$N$41,8,0)/'4. Billing Determinants'!$I$41*$D21, VLOOKUP(S$4,'4. Billing Determinants'!$B$19:$N$41,3,0)/'4. Billing Determinants'!$D$41*$D21))))),0)</f>
        <v>0</v>
      </c>
      <c r="T21" s="75">
        <f>IFERROR(IF(T$4="",0,IF($E21="kWh",VLOOKUP(T$4,'4. Billing Determinants'!$B$19:$N$41,4,0)/'4. Billing Determinants'!$E$41*$D21,IF($E21="kW",VLOOKUP(T$4,'4. Billing Determinants'!$B$19:$N$41,5,0)/'4. Billing Determinants'!$F$41*$D21,IF($E21="Non-RPP kWh",VLOOKUP(T$4,'4. Billing Determinants'!$B$19:$N$41,6,0)/'4. Billing Determinants'!$G$41*$D21,IF($E21="Distribution Rev.",VLOOKUP(T$4,'4. Billing Determinants'!$B$19:$N$41,8,0)/'4. Billing Determinants'!$I$41*$D21, VLOOKUP(T$4,'4. Billing Determinants'!$B$19:$N$41,3,0)/'4. Billing Determinants'!$D$41*$D21))))),0)</f>
        <v>0</v>
      </c>
      <c r="U21" s="75">
        <f>IFERROR(IF(U$4="",0,IF($E21="kWh",VLOOKUP(U$4,'4. Billing Determinants'!$B$19:$N$41,4,0)/'4. Billing Determinants'!$E$41*$D21,IF($E21="kW",VLOOKUP(U$4,'4. Billing Determinants'!$B$19:$N$41,5,0)/'4. Billing Determinants'!$F$41*$D21,IF($E21="Non-RPP kWh",VLOOKUP(U$4,'4. Billing Determinants'!$B$19:$N$41,6,0)/'4. Billing Determinants'!$G$41*$D21,IF($E21="Distribution Rev.",VLOOKUP(U$4,'4. Billing Determinants'!$B$19:$N$41,8,0)/'4. Billing Determinants'!$I$41*$D21, VLOOKUP(U$4,'4. Billing Determinants'!$B$19:$N$41,3,0)/'4. Billing Determinants'!$D$41*$D21))))),0)</f>
        <v>0</v>
      </c>
      <c r="V21" s="75">
        <f>IFERROR(IF(V$4="",0,IF($E21="kWh",VLOOKUP(V$4,'4. Billing Determinants'!$B$19:$N$41,4,0)/'4. Billing Determinants'!$E$41*$D21,IF($E21="kW",VLOOKUP(V$4,'4. Billing Determinants'!$B$19:$N$41,5,0)/'4. Billing Determinants'!$F$41*$D21,IF($E21="Non-RPP kWh",VLOOKUP(V$4,'4. Billing Determinants'!$B$19:$N$41,6,0)/'4. Billing Determinants'!$G$41*$D21,IF($E21="Distribution Rev.",VLOOKUP(V$4,'4. Billing Determinants'!$B$19:$N$41,8,0)/'4. Billing Determinants'!$I$41*$D21, VLOOKUP(V$4,'4. Billing Determinants'!$B$19:$N$41,3,0)/'4. Billing Determinants'!$D$41*$D21))))),0)</f>
        <v>0</v>
      </c>
      <c r="W21" s="75">
        <f>IFERROR(IF(W$4="",0,IF($E21="kWh",VLOOKUP(W$4,'4. Billing Determinants'!$B$19:$N$41,4,0)/'4. Billing Determinants'!$E$41*$D21,IF($E21="kW",VLOOKUP(W$4,'4. Billing Determinants'!$B$19:$N$41,5,0)/'4. Billing Determinants'!$F$41*$D21,IF($E21="Non-RPP kWh",VLOOKUP(W$4,'4. Billing Determinants'!$B$19:$N$41,6,0)/'4. Billing Determinants'!$G$41*$D21,IF($E21="Distribution Rev.",VLOOKUP(W$4,'4. Billing Determinants'!$B$19:$N$41,8,0)/'4. Billing Determinants'!$I$41*$D21, VLOOKUP(W$4,'4. Billing Determinants'!$B$19:$N$41,3,0)/'4. Billing Determinants'!$D$41*$D21))))),0)</f>
        <v>0</v>
      </c>
      <c r="X21" s="75">
        <f>IFERROR(IF(X$4="",0,IF($E21="kWh",VLOOKUP(X$4,'4. Billing Determinants'!$B$19:$N$41,4,0)/'4. Billing Determinants'!$E$41*$D21,IF($E21="kW",VLOOKUP(X$4,'4. Billing Determinants'!$B$19:$N$41,5,0)/'4. Billing Determinants'!$F$41*$D21,IF($E21="Non-RPP kWh",VLOOKUP(X$4,'4. Billing Determinants'!$B$19:$N$41,6,0)/'4. Billing Determinants'!$G$41*$D21,IF($E21="Distribution Rev.",VLOOKUP(X$4,'4. Billing Determinants'!$B$19:$N$41,8,0)/'4. Billing Determinants'!$I$41*$D21, VLOOKUP(X$4,'4. Billing Determinants'!$B$19:$N$41,3,0)/'4. Billing Determinants'!$D$41*$D21))))),0)</f>
        <v>0</v>
      </c>
      <c r="Y21" s="75">
        <f>IFERROR(IF(Y$4="",0,IF($E21="kWh",VLOOKUP(Y$4,'4. Billing Determinants'!$B$19:$N$41,4,0)/'4. Billing Determinants'!$E$41*$D21,IF($E21="kW",VLOOKUP(Y$4,'4. Billing Determinants'!$B$19:$N$41,5,0)/'4. Billing Determinants'!$F$41*$D21,IF($E21="Non-RPP kWh",VLOOKUP(Y$4,'4. Billing Determinants'!$B$19:$N$41,6,0)/'4. Billing Determinants'!$G$41*$D21,IF($E21="Distribution Rev.",VLOOKUP(Y$4,'4. Billing Determinants'!$B$19:$N$41,8,0)/'4. Billing Determinants'!$I$41*$D21, VLOOKUP(Y$4,'4. Billing Determinants'!$B$19:$N$41,3,0)/'4. Billing Determinants'!$D$41*$D21))))),0)</f>
        <v>0</v>
      </c>
    </row>
    <row r="22" spans="2:25" ht="25.5" x14ac:dyDescent="0.2">
      <c r="B22" s="80" t="s">
        <v>152</v>
      </c>
      <c r="C22" s="74">
        <v>1508</v>
      </c>
      <c r="D22" s="75">
        <f>'2. 2013 Continuity Schedule'!CP45</f>
        <v>0</v>
      </c>
      <c r="E22" s="208"/>
      <c r="F22" s="75">
        <f>IFERROR(IF(F$4="",0,IF($E22="kWh",VLOOKUP(F$4,'4. Billing Determinants'!$B$19:$N$41,4,0)/'4. Billing Determinants'!$E$41*$D22,IF($E22="kW",VLOOKUP(F$4,'4. Billing Determinants'!$B$19:$N$41,5,0)/'4. Billing Determinants'!$F$41*$D22,IF($E22="Non-RPP kWh",VLOOKUP(F$4,'4. Billing Determinants'!$B$19:$N$41,6,0)/'4. Billing Determinants'!$G$41*$D22,IF($E22="Distribution Rev.",VLOOKUP(F$4,'4. Billing Determinants'!$B$19:$N$41,8,0)/'4. Billing Determinants'!$I$41*$D22, VLOOKUP(F$4,'4. Billing Determinants'!$B$19:$N$41,3,0)/'4. Billing Determinants'!$D$41*$D22))))),0)</f>
        <v>0</v>
      </c>
      <c r="G22" s="75">
        <f>IFERROR(IF(G$4="",0,IF($E22="kWh",VLOOKUP(G$4,'4. Billing Determinants'!$B$19:$N$41,4,0)/'4. Billing Determinants'!$E$41*$D22,IF($E22="kW",VLOOKUP(G$4,'4. Billing Determinants'!$B$19:$N$41,5,0)/'4. Billing Determinants'!$F$41*$D22,IF($E22="Non-RPP kWh",VLOOKUP(G$4,'4. Billing Determinants'!$B$19:$N$41,6,0)/'4. Billing Determinants'!$G$41*$D22,IF($E22="Distribution Rev.",VLOOKUP(G$4,'4. Billing Determinants'!$B$19:$N$41,8,0)/'4. Billing Determinants'!$I$41*$D22, VLOOKUP(G$4,'4. Billing Determinants'!$B$19:$N$41,3,0)/'4. Billing Determinants'!$D$41*$D22))))),0)</f>
        <v>0</v>
      </c>
      <c r="H22" s="75">
        <f>IFERROR(IF(H$4="",0,IF($E22="kWh",VLOOKUP(H$4,'4. Billing Determinants'!$B$19:$N$41,4,0)/'4. Billing Determinants'!$E$41*$D22,IF($E22="kW",VLOOKUP(H$4,'4. Billing Determinants'!$B$19:$N$41,5,0)/'4. Billing Determinants'!$F$41*$D22,IF($E22="Non-RPP kWh",VLOOKUP(H$4,'4. Billing Determinants'!$B$19:$N$41,6,0)/'4. Billing Determinants'!$G$41*$D22,IF($E22="Distribution Rev.",VLOOKUP(H$4,'4. Billing Determinants'!$B$19:$N$41,8,0)/'4. Billing Determinants'!$I$41*$D22, VLOOKUP(H$4,'4. Billing Determinants'!$B$19:$N$41,3,0)/'4. Billing Determinants'!$D$41*$D22))))),0)</f>
        <v>0</v>
      </c>
      <c r="I22" s="75">
        <f>IFERROR(IF(I$4="",0,IF($E22="kWh",VLOOKUP(I$4,'4. Billing Determinants'!$B$19:$N$41,4,0)/'4. Billing Determinants'!$E$41*$D22,IF($E22="kW",VLOOKUP(I$4,'4. Billing Determinants'!$B$19:$N$41,5,0)/'4. Billing Determinants'!$F$41*$D22,IF($E22="Non-RPP kWh",VLOOKUP(I$4,'4. Billing Determinants'!$B$19:$N$41,6,0)/'4. Billing Determinants'!$G$41*$D22,IF($E22="Distribution Rev.",VLOOKUP(I$4,'4. Billing Determinants'!$B$19:$N$41,8,0)/'4. Billing Determinants'!$I$41*$D22, VLOOKUP(I$4,'4. Billing Determinants'!$B$19:$N$41,3,0)/'4. Billing Determinants'!$D$41*$D22))))),0)</f>
        <v>0</v>
      </c>
      <c r="J22" s="75">
        <f>IFERROR(IF(J$4="",0,IF($E22="kWh",VLOOKUP(J$4,'4. Billing Determinants'!$B$19:$N$41,4,0)/'4. Billing Determinants'!$E$41*$D22,IF($E22="kW",VLOOKUP(J$4,'4. Billing Determinants'!$B$19:$N$41,5,0)/'4. Billing Determinants'!$F$41*$D22,IF($E22="Non-RPP kWh",VLOOKUP(J$4,'4. Billing Determinants'!$B$19:$N$41,6,0)/'4. Billing Determinants'!$G$41*$D22,IF($E22="Distribution Rev.",VLOOKUP(J$4,'4. Billing Determinants'!$B$19:$N$41,8,0)/'4. Billing Determinants'!$I$41*$D22, VLOOKUP(J$4,'4. Billing Determinants'!$B$19:$N$41,3,0)/'4. Billing Determinants'!$D$41*$D22))))),0)</f>
        <v>0</v>
      </c>
      <c r="K22" s="75">
        <f>IFERROR(IF(K$4="",0,IF($E22="kWh",VLOOKUP(K$4,'4. Billing Determinants'!$B$19:$N$41,4,0)/'4. Billing Determinants'!$E$41*$D22,IF($E22="kW",VLOOKUP(K$4,'4. Billing Determinants'!$B$19:$N$41,5,0)/'4. Billing Determinants'!$F$41*$D22,IF($E22="Non-RPP kWh",VLOOKUP(K$4,'4. Billing Determinants'!$B$19:$N$41,6,0)/'4. Billing Determinants'!$G$41*$D22,IF($E22="Distribution Rev.",VLOOKUP(K$4,'4. Billing Determinants'!$B$19:$N$41,8,0)/'4. Billing Determinants'!$I$41*$D22, VLOOKUP(K$4,'4. Billing Determinants'!$B$19:$N$41,3,0)/'4. Billing Determinants'!$D$41*$D22))))),0)</f>
        <v>0</v>
      </c>
      <c r="L22" s="75">
        <f>IFERROR(IF(L$4="",0,IF($E22="kWh",VLOOKUP(L$4,'4. Billing Determinants'!$B$19:$N$41,4,0)/'4. Billing Determinants'!$E$41*$D22,IF($E22="kW",VLOOKUP(L$4,'4. Billing Determinants'!$B$19:$N$41,5,0)/'4. Billing Determinants'!$F$41*$D22,IF($E22="Non-RPP kWh",VLOOKUP(L$4,'4. Billing Determinants'!$B$19:$N$41,6,0)/'4. Billing Determinants'!$G$41*$D22,IF($E22="Distribution Rev.",VLOOKUP(L$4,'4. Billing Determinants'!$B$19:$N$41,8,0)/'4. Billing Determinants'!$I$41*$D22, VLOOKUP(L$4,'4. Billing Determinants'!$B$19:$N$41,3,0)/'4. Billing Determinants'!$D$41*$D22))))),0)</f>
        <v>0</v>
      </c>
      <c r="M22" s="75">
        <f>IFERROR(IF(M$4="",0,IF($E22="kWh",VLOOKUP(M$4,'4. Billing Determinants'!$B$19:$N$41,4,0)/'4. Billing Determinants'!$E$41*$D22,IF($E22="kW",VLOOKUP(M$4,'4. Billing Determinants'!$B$19:$N$41,5,0)/'4. Billing Determinants'!$F$41*$D22,IF($E22="Non-RPP kWh",VLOOKUP(M$4,'4. Billing Determinants'!$B$19:$N$41,6,0)/'4. Billing Determinants'!$G$41*$D22,IF($E22="Distribution Rev.",VLOOKUP(M$4,'4. Billing Determinants'!$B$19:$N$41,8,0)/'4. Billing Determinants'!$I$41*$D22, VLOOKUP(M$4,'4. Billing Determinants'!$B$19:$N$41,3,0)/'4. Billing Determinants'!$D$41*$D22))))),0)</f>
        <v>0</v>
      </c>
      <c r="N22" s="75">
        <f>IFERROR(IF(N$4="",0,IF($E22="kWh",VLOOKUP(N$4,'4. Billing Determinants'!$B$19:$N$41,4,0)/'4. Billing Determinants'!$E$41*$D22,IF($E22="kW",VLOOKUP(N$4,'4. Billing Determinants'!$B$19:$N$41,5,0)/'4. Billing Determinants'!$F$41*$D22,IF($E22="Non-RPP kWh",VLOOKUP(N$4,'4. Billing Determinants'!$B$19:$N$41,6,0)/'4. Billing Determinants'!$G$41*$D22,IF($E22="Distribution Rev.",VLOOKUP(N$4,'4. Billing Determinants'!$B$19:$N$41,8,0)/'4. Billing Determinants'!$I$41*$D22, VLOOKUP(N$4,'4. Billing Determinants'!$B$19:$N$41,3,0)/'4. Billing Determinants'!$D$41*$D22))))),0)</f>
        <v>0</v>
      </c>
      <c r="O22" s="75">
        <f>IFERROR(IF(O$4="",0,IF($E22="kWh",VLOOKUP(O$4,'4. Billing Determinants'!$B$19:$N$41,4,0)/'4. Billing Determinants'!$E$41*$D22,IF($E22="kW",VLOOKUP(O$4,'4. Billing Determinants'!$B$19:$N$41,5,0)/'4. Billing Determinants'!$F$41*$D22,IF($E22="Non-RPP kWh",VLOOKUP(O$4,'4. Billing Determinants'!$B$19:$N$41,6,0)/'4. Billing Determinants'!$G$41*$D22,IF($E22="Distribution Rev.",VLOOKUP(O$4,'4. Billing Determinants'!$B$19:$N$41,8,0)/'4. Billing Determinants'!$I$41*$D22, VLOOKUP(O$4,'4. Billing Determinants'!$B$19:$N$41,3,0)/'4. Billing Determinants'!$D$41*$D22))))),0)</f>
        <v>0</v>
      </c>
      <c r="P22" s="75">
        <f>IFERROR(IF(P$4="",0,IF($E22="kWh",VLOOKUP(P$4,'4. Billing Determinants'!$B$19:$N$41,4,0)/'4. Billing Determinants'!$E$41*$D22,IF($E22="kW",VLOOKUP(P$4,'4. Billing Determinants'!$B$19:$N$41,5,0)/'4. Billing Determinants'!$F$41*$D22,IF($E22="Non-RPP kWh",VLOOKUP(P$4,'4. Billing Determinants'!$B$19:$N$41,6,0)/'4. Billing Determinants'!$G$41*$D22,IF($E22="Distribution Rev.",VLOOKUP(P$4,'4. Billing Determinants'!$B$19:$N$41,8,0)/'4. Billing Determinants'!$I$41*$D22, VLOOKUP(P$4,'4. Billing Determinants'!$B$19:$N$41,3,0)/'4. Billing Determinants'!$D$41*$D22))))),0)</f>
        <v>0</v>
      </c>
      <c r="Q22" s="75">
        <f>IFERROR(IF(Q$4="",0,IF($E22="kWh",VLOOKUP(Q$4,'4. Billing Determinants'!$B$19:$N$41,4,0)/'4. Billing Determinants'!$E$41*$D22,IF($E22="kW",VLOOKUP(Q$4,'4. Billing Determinants'!$B$19:$N$41,5,0)/'4. Billing Determinants'!$F$41*$D22,IF($E22="Non-RPP kWh",VLOOKUP(Q$4,'4. Billing Determinants'!$B$19:$N$41,6,0)/'4. Billing Determinants'!$G$41*$D22,IF($E22="Distribution Rev.",VLOOKUP(Q$4,'4. Billing Determinants'!$B$19:$N$41,8,0)/'4. Billing Determinants'!$I$41*$D22, VLOOKUP(Q$4,'4. Billing Determinants'!$B$19:$N$41,3,0)/'4. Billing Determinants'!$D$41*$D22))))),0)</f>
        <v>0</v>
      </c>
      <c r="R22" s="75">
        <f>IFERROR(IF(R$4="",0,IF($E22="kWh",VLOOKUP(R$4,'4. Billing Determinants'!$B$19:$N$41,4,0)/'4. Billing Determinants'!$E$41*$D22,IF($E22="kW",VLOOKUP(R$4,'4. Billing Determinants'!$B$19:$N$41,5,0)/'4. Billing Determinants'!$F$41*$D22,IF($E22="Non-RPP kWh",VLOOKUP(R$4,'4. Billing Determinants'!$B$19:$N$41,6,0)/'4. Billing Determinants'!$G$41*$D22,IF($E22="Distribution Rev.",VLOOKUP(R$4,'4. Billing Determinants'!$B$19:$N$41,8,0)/'4. Billing Determinants'!$I$41*$D22, VLOOKUP(R$4,'4. Billing Determinants'!$B$19:$N$41,3,0)/'4. Billing Determinants'!$D$41*$D22))))),0)</f>
        <v>0</v>
      </c>
      <c r="S22" s="75">
        <f>IFERROR(IF(S$4="",0,IF($E22="kWh",VLOOKUP(S$4,'4. Billing Determinants'!$B$19:$N$41,4,0)/'4. Billing Determinants'!$E$41*$D22,IF($E22="kW",VLOOKUP(S$4,'4. Billing Determinants'!$B$19:$N$41,5,0)/'4. Billing Determinants'!$F$41*$D22,IF($E22="Non-RPP kWh",VLOOKUP(S$4,'4. Billing Determinants'!$B$19:$N$41,6,0)/'4. Billing Determinants'!$G$41*$D22,IF($E22="Distribution Rev.",VLOOKUP(S$4,'4. Billing Determinants'!$B$19:$N$41,8,0)/'4. Billing Determinants'!$I$41*$D22, VLOOKUP(S$4,'4. Billing Determinants'!$B$19:$N$41,3,0)/'4. Billing Determinants'!$D$41*$D22))))),0)</f>
        <v>0</v>
      </c>
      <c r="T22" s="75">
        <f>IFERROR(IF(T$4="",0,IF($E22="kWh",VLOOKUP(T$4,'4. Billing Determinants'!$B$19:$N$41,4,0)/'4. Billing Determinants'!$E$41*$D22,IF($E22="kW",VLOOKUP(T$4,'4. Billing Determinants'!$B$19:$N$41,5,0)/'4. Billing Determinants'!$F$41*$D22,IF($E22="Non-RPP kWh",VLOOKUP(T$4,'4. Billing Determinants'!$B$19:$N$41,6,0)/'4. Billing Determinants'!$G$41*$D22,IF($E22="Distribution Rev.",VLOOKUP(T$4,'4. Billing Determinants'!$B$19:$N$41,8,0)/'4. Billing Determinants'!$I$41*$D22, VLOOKUP(T$4,'4. Billing Determinants'!$B$19:$N$41,3,0)/'4. Billing Determinants'!$D$41*$D22))))),0)</f>
        <v>0</v>
      </c>
      <c r="U22" s="75">
        <f>IFERROR(IF(U$4="",0,IF($E22="kWh",VLOOKUP(U$4,'4. Billing Determinants'!$B$19:$N$41,4,0)/'4. Billing Determinants'!$E$41*$D22,IF($E22="kW",VLOOKUP(U$4,'4. Billing Determinants'!$B$19:$N$41,5,0)/'4. Billing Determinants'!$F$41*$D22,IF($E22="Non-RPP kWh",VLOOKUP(U$4,'4. Billing Determinants'!$B$19:$N$41,6,0)/'4. Billing Determinants'!$G$41*$D22,IF($E22="Distribution Rev.",VLOOKUP(U$4,'4. Billing Determinants'!$B$19:$N$41,8,0)/'4. Billing Determinants'!$I$41*$D22, VLOOKUP(U$4,'4. Billing Determinants'!$B$19:$N$41,3,0)/'4. Billing Determinants'!$D$41*$D22))))),0)</f>
        <v>0</v>
      </c>
      <c r="V22" s="75">
        <f>IFERROR(IF(V$4="",0,IF($E22="kWh",VLOOKUP(V$4,'4. Billing Determinants'!$B$19:$N$41,4,0)/'4. Billing Determinants'!$E$41*$D22,IF($E22="kW",VLOOKUP(V$4,'4. Billing Determinants'!$B$19:$N$41,5,0)/'4. Billing Determinants'!$F$41*$D22,IF($E22="Non-RPP kWh",VLOOKUP(V$4,'4. Billing Determinants'!$B$19:$N$41,6,0)/'4. Billing Determinants'!$G$41*$D22,IF($E22="Distribution Rev.",VLOOKUP(V$4,'4. Billing Determinants'!$B$19:$N$41,8,0)/'4. Billing Determinants'!$I$41*$D22, VLOOKUP(V$4,'4. Billing Determinants'!$B$19:$N$41,3,0)/'4. Billing Determinants'!$D$41*$D22))))),0)</f>
        <v>0</v>
      </c>
      <c r="W22" s="75">
        <f>IFERROR(IF(W$4="",0,IF($E22="kWh",VLOOKUP(W$4,'4. Billing Determinants'!$B$19:$N$41,4,0)/'4. Billing Determinants'!$E$41*$D22,IF($E22="kW",VLOOKUP(W$4,'4. Billing Determinants'!$B$19:$N$41,5,0)/'4. Billing Determinants'!$F$41*$D22,IF($E22="Non-RPP kWh",VLOOKUP(W$4,'4. Billing Determinants'!$B$19:$N$41,6,0)/'4. Billing Determinants'!$G$41*$D22,IF($E22="Distribution Rev.",VLOOKUP(W$4,'4. Billing Determinants'!$B$19:$N$41,8,0)/'4. Billing Determinants'!$I$41*$D22, VLOOKUP(W$4,'4. Billing Determinants'!$B$19:$N$41,3,0)/'4. Billing Determinants'!$D$41*$D22))))),0)</f>
        <v>0</v>
      </c>
      <c r="X22" s="75">
        <f>IFERROR(IF(X$4="",0,IF($E22="kWh",VLOOKUP(X$4,'4. Billing Determinants'!$B$19:$N$41,4,0)/'4. Billing Determinants'!$E$41*$D22,IF($E22="kW",VLOOKUP(X$4,'4. Billing Determinants'!$B$19:$N$41,5,0)/'4. Billing Determinants'!$F$41*$D22,IF($E22="Non-RPP kWh",VLOOKUP(X$4,'4. Billing Determinants'!$B$19:$N$41,6,0)/'4. Billing Determinants'!$G$41*$D22,IF($E22="Distribution Rev.",VLOOKUP(X$4,'4. Billing Determinants'!$B$19:$N$41,8,0)/'4. Billing Determinants'!$I$41*$D22, VLOOKUP(X$4,'4. Billing Determinants'!$B$19:$N$41,3,0)/'4. Billing Determinants'!$D$41*$D22))))),0)</f>
        <v>0</v>
      </c>
      <c r="Y22" s="75">
        <f>IFERROR(IF(Y$4="",0,IF($E22="kWh",VLOOKUP(Y$4,'4. Billing Determinants'!$B$19:$N$41,4,0)/'4. Billing Determinants'!$E$41*$D22,IF($E22="kW",VLOOKUP(Y$4,'4. Billing Determinants'!$B$19:$N$41,5,0)/'4. Billing Determinants'!$F$41*$D22,IF($E22="Non-RPP kWh",VLOOKUP(Y$4,'4. Billing Determinants'!$B$19:$N$41,6,0)/'4. Billing Determinants'!$G$41*$D22,IF($E22="Distribution Rev.",VLOOKUP(Y$4,'4. Billing Determinants'!$B$19:$N$41,8,0)/'4. Billing Determinants'!$I$41*$D22, VLOOKUP(Y$4,'4. Billing Determinants'!$B$19:$N$41,3,0)/'4. Billing Determinants'!$D$41*$D22))))),0)</f>
        <v>0</v>
      </c>
    </row>
    <row r="23" spans="2:25" ht="25.5" x14ac:dyDescent="0.2">
      <c r="B23" s="80" t="s">
        <v>86</v>
      </c>
      <c r="C23" s="74">
        <v>1508</v>
      </c>
      <c r="D23" s="75">
        <f>'2. 2013 Continuity Schedule'!CP46</f>
        <v>0</v>
      </c>
      <c r="E23" s="208"/>
      <c r="F23" s="75">
        <f>IFERROR(IF(F$4="",0,IF($E23="kWh",VLOOKUP(F$4,'4. Billing Determinants'!$B$19:$N$41,4,0)/'4. Billing Determinants'!$E$41*$D23,IF($E23="kW",VLOOKUP(F$4,'4. Billing Determinants'!$B$19:$N$41,5,0)/'4. Billing Determinants'!$F$41*$D23,IF($E23="Non-RPP kWh",VLOOKUP(F$4,'4. Billing Determinants'!$B$19:$N$41,6,0)/'4. Billing Determinants'!$G$41*$D23,IF($E23="Distribution Rev.",VLOOKUP(F$4,'4. Billing Determinants'!$B$19:$N$41,8,0)/'4. Billing Determinants'!$I$41*$D23, VLOOKUP(F$4,'4. Billing Determinants'!$B$19:$N$41,3,0)/'4. Billing Determinants'!$D$41*$D23))))),0)</f>
        <v>0</v>
      </c>
      <c r="G23" s="75">
        <f>IFERROR(IF(G$4="",0,IF($E23="kWh",VLOOKUP(G$4,'4. Billing Determinants'!$B$19:$N$41,4,0)/'4. Billing Determinants'!$E$41*$D23,IF($E23="kW",VLOOKUP(G$4,'4. Billing Determinants'!$B$19:$N$41,5,0)/'4. Billing Determinants'!$F$41*$D23,IF($E23="Non-RPP kWh",VLOOKUP(G$4,'4. Billing Determinants'!$B$19:$N$41,6,0)/'4. Billing Determinants'!$G$41*$D23,IF($E23="Distribution Rev.",VLOOKUP(G$4,'4. Billing Determinants'!$B$19:$N$41,8,0)/'4. Billing Determinants'!$I$41*$D23, VLOOKUP(G$4,'4. Billing Determinants'!$B$19:$N$41,3,0)/'4. Billing Determinants'!$D$41*$D23))))),0)</f>
        <v>0</v>
      </c>
      <c r="H23" s="75">
        <f>IFERROR(IF(H$4="",0,IF($E23="kWh",VLOOKUP(H$4,'4. Billing Determinants'!$B$19:$N$41,4,0)/'4. Billing Determinants'!$E$41*$D23,IF($E23="kW",VLOOKUP(H$4,'4. Billing Determinants'!$B$19:$N$41,5,0)/'4. Billing Determinants'!$F$41*$D23,IF($E23="Non-RPP kWh",VLOOKUP(H$4,'4. Billing Determinants'!$B$19:$N$41,6,0)/'4. Billing Determinants'!$G$41*$D23,IF($E23="Distribution Rev.",VLOOKUP(H$4,'4. Billing Determinants'!$B$19:$N$41,8,0)/'4. Billing Determinants'!$I$41*$D23, VLOOKUP(H$4,'4. Billing Determinants'!$B$19:$N$41,3,0)/'4. Billing Determinants'!$D$41*$D23))))),0)</f>
        <v>0</v>
      </c>
      <c r="I23" s="75">
        <f>IFERROR(IF(I$4="",0,IF($E23="kWh",VLOOKUP(I$4,'4. Billing Determinants'!$B$19:$N$41,4,0)/'4. Billing Determinants'!$E$41*$D23,IF($E23="kW",VLOOKUP(I$4,'4. Billing Determinants'!$B$19:$N$41,5,0)/'4. Billing Determinants'!$F$41*$D23,IF($E23="Non-RPP kWh",VLOOKUP(I$4,'4. Billing Determinants'!$B$19:$N$41,6,0)/'4. Billing Determinants'!$G$41*$D23,IF($E23="Distribution Rev.",VLOOKUP(I$4,'4. Billing Determinants'!$B$19:$N$41,8,0)/'4. Billing Determinants'!$I$41*$D23, VLOOKUP(I$4,'4. Billing Determinants'!$B$19:$N$41,3,0)/'4. Billing Determinants'!$D$41*$D23))))),0)</f>
        <v>0</v>
      </c>
      <c r="J23" s="75">
        <f>IFERROR(IF(J$4="",0,IF($E23="kWh",VLOOKUP(J$4,'4. Billing Determinants'!$B$19:$N$41,4,0)/'4. Billing Determinants'!$E$41*$D23,IF($E23="kW",VLOOKUP(J$4,'4. Billing Determinants'!$B$19:$N$41,5,0)/'4. Billing Determinants'!$F$41*$D23,IF($E23="Non-RPP kWh",VLOOKUP(J$4,'4. Billing Determinants'!$B$19:$N$41,6,0)/'4. Billing Determinants'!$G$41*$D23,IF($E23="Distribution Rev.",VLOOKUP(J$4,'4. Billing Determinants'!$B$19:$N$41,8,0)/'4. Billing Determinants'!$I$41*$D23, VLOOKUP(J$4,'4. Billing Determinants'!$B$19:$N$41,3,0)/'4. Billing Determinants'!$D$41*$D23))))),0)</f>
        <v>0</v>
      </c>
      <c r="K23" s="75">
        <f>IFERROR(IF(K$4="",0,IF($E23="kWh",VLOOKUP(K$4,'4. Billing Determinants'!$B$19:$N$41,4,0)/'4. Billing Determinants'!$E$41*$D23,IF($E23="kW",VLOOKUP(K$4,'4. Billing Determinants'!$B$19:$N$41,5,0)/'4. Billing Determinants'!$F$41*$D23,IF($E23="Non-RPP kWh",VLOOKUP(K$4,'4. Billing Determinants'!$B$19:$N$41,6,0)/'4. Billing Determinants'!$G$41*$D23,IF($E23="Distribution Rev.",VLOOKUP(K$4,'4. Billing Determinants'!$B$19:$N$41,8,0)/'4. Billing Determinants'!$I$41*$D23, VLOOKUP(K$4,'4. Billing Determinants'!$B$19:$N$41,3,0)/'4. Billing Determinants'!$D$41*$D23))))),0)</f>
        <v>0</v>
      </c>
      <c r="L23" s="75">
        <f>IFERROR(IF(L$4="",0,IF($E23="kWh",VLOOKUP(L$4,'4. Billing Determinants'!$B$19:$N$41,4,0)/'4. Billing Determinants'!$E$41*$D23,IF($E23="kW",VLOOKUP(L$4,'4. Billing Determinants'!$B$19:$N$41,5,0)/'4. Billing Determinants'!$F$41*$D23,IF($E23="Non-RPP kWh",VLOOKUP(L$4,'4. Billing Determinants'!$B$19:$N$41,6,0)/'4. Billing Determinants'!$G$41*$D23,IF($E23="Distribution Rev.",VLOOKUP(L$4,'4. Billing Determinants'!$B$19:$N$41,8,0)/'4. Billing Determinants'!$I$41*$D23, VLOOKUP(L$4,'4. Billing Determinants'!$B$19:$N$41,3,0)/'4. Billing Determinants'!$D$41*$D23))))),0)</f>
        <v>0</v>
      </c>
      <c r="M23" s="75">
        <f>IFERROR(IF(M$4="",0,IF($E23="kWh",VLOOKUP(M$4,'4. Billing Determinants'!$B$19:$N$41,4,0)/'4. Billing Determinants'!$E$41*$D23,IF($E23="kW",VLOOKUP(M$4,'4. Billing Determinants'!$B$19:$N$41,5,0)/'4. Billing Determinants'!$F$41*$D23,IF($E23="Non-RPP kWh",VLOOKUP(M$4,'4. Billing Determinants'!$B$19:$N$41,6,0)/'4. Billing Determinants'!$G$41*$D23,IF($E23="Distribution Rev.",VLOOKUP(M$4,'4. Billing Determinants'!$B$19:$N$41,8,0)/'4. Billing Determinants'!$I$41*$D23, VLOOKUP(M$4,'4. Billing Determinants'!$B$19:$N$41,3,0)/'4. Billing Determinants'!$D$41*$D23))))),0)</f>
        <v>0</v>
      </c>
      <c r="N23" s="75">
        <f>IFERROR(IF(N$4="",0,IF($E23="kWh",VLOOKUP(N$4,'4. Billing Determinants'!$B$19:$N$41,4,0)/'4. Billing Determinants'!$E$41*$D23,IF($E23="kW",VLOOKUP(N$4,'4. Billing Determinants'!$B$19:$N$41,5,0)/'4. Billing Determinants'!$F$41*$D23,IF($E23="Non-RPP kWh",VLOOKUP(N$4,'4. Billing Determinants'!$B$19:$N$41,6,0)/'4. Billing Determinants'!$G$41*$D23,IF($E23="Distribution Rev.",VLOOKUP(N$4,'4. Billing Determinants'!$B$19:$N$41,8,0)/'4. Billing Determinants'!$I$41*$D23, VLOOKUP(N$4,'4. Billing Determinants'!$B$19:$N$41,3,0)/'4. Billing Determinants'!$D$41*$D23))))),0)</f>
        <v>0</v>
      </c>
      <c r="O23" s="75">
        <f>IFERROR(IF(O$4="",0,IF($E23="kWh",VLOOKUP(O$4,'4. Billing Determinants'!$B$19:$N$41,4,0)/'4. Billing Determinants'!$E$41*$D23,IF($E23="kW",VLOOKUP(O$4,'4. Billing Determinants'!$B$19:$N$41,5,0)/'4. Billing Determinants'!$F$41*$D23,IF($E23="Non-RPP kWh",VLOOKUP(O$4,'4. Billing Determinants'!$B$19:$N$41,6,0)/'4. Billing Determinants'!$G$41*$D23,IF($E23="Distribution Rev.",VLOOKUP(O$4,'4. Billing Determinants'!$B$19:$N$41,8,0)/'4. Billing Determinants'!$I$41*$D23, VLOOKUP(O$4,'4. Billing Determinants'!$B$19:$N$41,3,0)/'4. Billing Determinants'!$D$41*$D23))))),0)</f>
        <v>0</v>
      </c>
      <c r="P23" s="75">
        <f>IFERROR(IF(P$4="",0,IF($E23="kWh",VLOOKUP(P$4,'4. Billing Determinants'!$B$19:$N$41,4,0)/'4. Billing Determinants'!$E$41*$D23,IF($E23="kW",VLOOKUP(P$4,'4. Billing Determinants'!$B$19:$N$41,5,0)/'4. Billing Determinants'!$F$41*$D23,IF($E23="Non-RPP kWh",VLOOKUP(P$4,'4. Billing Determinants'!$B$19:$N$41,6,0)/'4. Billing Determinants'!$G$41*$D23,IF($E23="Distribution Rev.",VLOOKUP(P$4,'4. Billing Determinants'!$B$19:$N$41,8,0)/'4. Billing Determinants'!$I$41*$D23, VLOOKUP(P$4,'4. Billing Determinants'!$B$19:$N$41,3,0)/'4. Billing Determinants'!$D$41*$D23))))),0)</f>
        <v>0</v>
      </c>
      <c r="Q23" s="75">
        <f>IFERROR(IF(Q$4="",0,IF($E23="kWh",VLOOKUP(Q$4,'4. Billing Determinants'!$B$19:$N$41,4,0)/'4. Billing Determinants'!$E$41*$D23,IF($E23="kW",VLOOKUP(Q$4,'4. Billing Determinants'!$B$19:$N$41,5,0)/'4. Billing Determinants'!$F$41*$D23,IF($E23="Non-RPP kWh",VLOOKUP(Q$4,'4. Billing Determinants'!$B$19:$N$41,6,0)/'4. Billing Determinants'!$G$41*$D23,IF($E23="Distribution Rev.",VLOOKUP(Q$4,'4. Billing Determinants'!$B$19:$N$41,8,0)/'4. Billing Determinants'!$I$41*$D23, VLOOKUP(Q$4,'4. Billing Determinants'!$B$19:$N$41,3,0)/'4. Billing Determinants'!$D$41*$D23))))),0)</f>
        <v>0</v>
      </c>
      <c r="R23" s="75">
        <f>IFERROR(IF(R$4="",0,IF($E23="kWh",VLOOKUP(R$4,'4. Billing Determinants'!$B$19:$N$41,4,0)/'4. Billing Determinants'!$E$41*$D23,IF($E23="kW",VLOOKUP(R$4,'4. Billing Determinants'!$B$19:$N$41,5,0)/'4. Billing Determinants'!$F$41*$D23,IF($E23="Non-RPP kWh",VLOOKUP(R$4,'4. Billing Determinants'!$B$19:$N$41,6,0)/'4. Billing Determinants'!$G$41*$D23,IF($E23="Distribution Rev.",VLOOKUP(R$4,'4. Billing Determinants'!$B$19:$N$41,8,0)/'4. Billing Determinants'!$I$41*$D23, VLOOKUP(R$4,'4. Billing Determinants'!$B$19:$N$41,3,0)/'4. Billing Determinants'!$D$41*$D23))))),0)</f>
        <v>0</v>
      </c>
      <c r="S23" s="75">
        <f>IFERROR(IF(S$4="",0,IF($E23="kWh",VLOOKUP(S$4,'4. Billing Determinants'!$B$19:$N$41,4,0)/'4. Billing Determinants'!$E$41*$D23,IF($E23="kW",VLOOKUP(S$4,'4. Billing Determinants'!$B$19:$N$41,5,0)/'4. Billing Determinants'!$F$41*$D23,IF($E23="Non-RPP kWh",VLOOKUP(S$4,'4. Billing Determinants'!$B$19:$N$41,6,0)/'4. Billing Determinants'!$G$41*$D23,IF($E23="Distribution Rev.",VLOOKUP(S$4,'4. Billing Determinants'!$B$19:$N$41,8,0)/'4. Billing Determinants'!$I$41*$D23, VLOOKUP(S$4,'4. Billing Determinants'!$B$19:$N$41,3,0)/'4. Billing Determinants'!$D$41*$D23))))),0)</f>
        <v>0</v>
      </c>
      <c r="T23" s="75">
        <f>IFERROR(IF(T$4="",0,IF($E23="kWh",VLOOKUP(T$4,'4. Billing Determinants'!$B$19:$N$41,4,0)/'4. Billing Determinants'!$E$41*$D23,IF($E23="kW",VLOOKUP(T$4,'4. Billing Determinants'!$B$19:$N$41,5,0)/'4. Billing Determinants'!$F$41*$D23,IF($E23="Non-RPP kWh",VLOOKUP(T$4,'4. Billing Determinants'!$B$19:$N$41,6,0)/'4. Billing Determinants'!$G$41*$D23,IF($E23="Distribution Rev.",VLOOKUP(T$4,'4. Billing Determinants'!$B$19:$N$41,8,0)/'4. Billing Determinants'!$I$41*$D23, VLOOKUP(T$4,'4. Billing Determinants'!$B$19:$N$41,3,0)/'4. Billing Determinants'!$D$41*$D23))))),0)</f>
        <v>0</v>
      </c>
      <c r="U23" s="75">
        <f>IFERROR(IF(U$4="",0,IF($E23="kWh",VLOOKUP(U$4,'4. Billing Determinants'!$B$19:$N$41,4,0)/'4. Billing Determinants'!$E$41*$D23,IF($E23="kW",VLOOKUP(U$4,'4. Billing Determinants'!$B$19:$N$41,5,0)/'4. Billing Determinants'!$F$41*$D23,IF($E23="Non-RPP kWh",VLOOKUP(U$4,'4. Billing Determinants'!$B$19:$N$41,6,0)/'4. Billing Determinants'!$G$41*$D23,IF($E23="Distribution Rev.",VLOOKUP(U$4,'4. Billing Determinants'!$B$19:$N$41,8,0)/'4. Billing Determinants'!$I$41*$D23, VLOOKUP(U$4,'4. Billing Determinants'!$B$19:$N$41,3,0)/'4. Billing Determinants'!$D$41*$D23))))),0)</f>
        <v>0</v>
      </c>
      <c r="V23" s="75">
        <f>IFERROR(IF(V$4="",0,IF($E23="kWh",VLOOKUP(V$4,'4. Billing Determinants'!$B$19:$N$41,4,0)/'4. Billing Determinants'!$E$41*$D23,IF($E23="kW",VLOOKUP(V$4,'4. Billing Determinants'!$B$19:$N$41,5,0)/'4. Billing Determinants'!$F$41*$D23,IF($E23="Non-RPP kWh",VLOOKUP(V$4,'4. Billing Determinants'!$B$19:$N$41,6,0)/'4. Billing Determinants'!$G$41*$D23,IF($E23="Distribution Rev.",VLOOKUP(V$4,'4. Billing Determinants'!$B$19:$N$41,8,0)/'4. Billing Determinants'!$I$41*$D23, VLOOKUP(V$4,'4. Billing Determinants'!$B$19:$N$41,3,0)/'4. Billing Determinants'!$D$41*$D23))))),0)</f>
        <v>0</v>
      </c>
      <c r="W23" s="75">
        <f>IFERROR(IF(W$4="",0,IF($E23="kWh",VLOOKUP(W$4,'4. Billing Determinants'!$B$19:$N$41,4,0)/'4. Billing Determinants'!$E$41*$D23,IF($E23="kW",VLOOKUP(W$4,'4. Billing Determinants'!$B$19:$N$41,5,0)/'4. Billing Determinants'!$F$41*$D23,IF($E23="Non-RPP kWh",VLOOKUP(W$4,'4. Billing Determinants'!$B$19:$N$41,6,0)/'4. Billing Determinants'!$G$41*$D23,IF($E23="Distribution Rev.",VLOOKUP(W$4,'4. Billing Determinants'!$B$19:$N$41,8,0)/'4. Billing Determinants'!$I$41*$D23, VLOOKUP(W$4,'4. Billing Determinants'!$B$19:$N$41,3,0)/'4. Billing Determinants'!$D$41*$D23))))),0)</f>
        <v>0</v>
      </c>
      <c r="X23" s="75">
        <f>IFERROR(IF(X$4="",0,IF($E23="kWh",VLOOKUP(X$4,'4. Billing Determinants'!$B$19:$N$41,4,0)/'4. Billing Determinants'!$E$41*$D23,IF($E23="kW",VLOOKUP(X$4,'4. Billing Determinants'!$B$19:$N$41,5,0)/'4. Billing Determinants'!$F$41*$D23,IF($E23="Non-RPP kWh",VLOOKUP(X$4,'4. Billing Determinants'!$B$19:$N$41,6,0)/'4. Billing Determinants'!$G$41*$D23,IF($E23="Distribution Rev.",VLOOKUP(X$4,'4. Billing Determinants'!$B$19:$N$41,8,0)/'4. Billing Determinants'!$I$41*$D23, VLOOKUP(X$4,'4. Billing Determinants'!$B$19:$N$41,3,0)/'4. Billing Determinants'!$D$41*$D23))))),0)</f>
        <v>0</v>
      </c>
      <c r="Y23" s="75">
        <f>IFERROR(IF(Y$4="",0,IF($E23="kWh",VLOOKUP(Y$4,'4. Billing Determinants'!$B$19:$N$41,4,0)/'4. Billing Determinants'!$E$41*$D23,IF($E23="kW",VLOOKUP(Y$4,'4. Billing Determinants'!$B$19:$N$41,5,0)/'4. Billing Determinants'!$F$41*$D23,IF($E23="Non-RPP kWh",VLOOKUP(Y$4,'4. Billing Determinants'!$B$19:$N$41,6,0)/'4. Billing Determinants'!$G$41*$D23,IF($E23="Distribution Rev.",VLOOKUP(Y$4,'4. Billing Determinants'!$B$19:$N$41,8,0)/'4. Billing Determinants'!$I$41*$D23, VLOOKUP(Y$4,'4. Billing Determinants'!$B$19:$N$41,3,0)/'4. Billing Determinants'!$D$41*$D23))))),0)</f>
        <v>0</v>
      </c>
    </row>
    <row r="24" spans="2:25" x14ac:dyDescent="0.2">
      <c r="B24" s="73" t="s">
        <v>153</v>
      </c>
      <c r="C24" s="74">
        <v>1508</v>
      </c>
      <c r="D24" s="75">
        <f>'2. 2013 Continuity Schedule'!CP47</f>
        <v>0</v>
      </c>
      <c r="E24" s="208"/>
      <c r="F24" s="75">
        <f>IFERROR(IF(F$4="",0,IF($E24="kWh",VLOOKUP(F$4,'4. Billing Determinants'!$B$19:$N$41,4,0)/'4. Billing Determinants'!$E$41*$D24,IF($E24="kW",VLOOKUP(F$4,'4. Billing Determinants'!$B$19:$N$41,5,0)/'4. Billing Determinants'!$F$41*$D24,IF($E24="Non-RPP kWh",VLOOKUP(F$4,'4. Billing Determinants'!$B$19:$N$41,6,0)/'4. Billing Determinants'!$G$41*$D24,IF($E24="Distribution Rev.",VLOOKUP(F$4,'4. Billing Determinants'!$B$19:$N$41,8,0)/'4. Billing Determinants'!$I$41*$D24, VLOOKUP(F$4,'4. Billing Determinants'!$B$19:$N$41,3,0)/'4. Billing Determinants'!$D$41*$D24))))),0)</f>
        <v>0</v>
      </c>
      <c r="G24" s="75">
        <f>IFERROR(IF(G$4="",0,IF($E24="kWh",VLOOKUP(G$4,'4. Billing Determinants'!$B$19:$N$41,4,0)/'4. Billing Determinants'!$E$41*$D24,IF($E24="kW",VLOOKUP(G$4,'4. Billing Determinants'!$B$19:$N$41,5,0)/'4. Billing Determinants'!$F$41*$D24,IF($E24="Non-RPP kWh",VLOOKUP(G$4,'4. Billing Determinants'!$B$19:$N$41,6,0)/'4. Billing Determinants'!$G$41*$D24,IF($E24="Distribution Rev.",VLOOKUP(G$4,'4. Billing Determinants'!$B$19:$N$41,8,0)/'4. Billing Determinants'!$I$41*$D24, VLOOKUP(G$4,'4. Billing Determinants'!$B$19:$N$41,3,0)/'4. Billing Determinants'!$D$41*$D24))))),0)</f>
        <v>0</v>
      </c>
      <c r="H24" s="75">
        <f>IFERROR(IF(H$4="",0,IF($E24="kWh",VLOOKUP(H$4,'4. Billing Determinants'!$B$19:$N$41,4,0)/'4. Billing Determinants'!$E$41*$D24,IF($E24="kW",VLOOKUP(H$4,'4. Billing Determinants'!$B$19:$N$41,5,0)/'4. Billing Determinants'!$F$41*$D24,IF($E24="Non-RPP kWh",VLOOKUP(H$4,'4. Billing Determinants'!$B$19:$N$41,6,0)/'4. Billing Determinants'!$G$41*$D24,IF($E24="Distribution Rev.",VLOOKUP(H$4,'4. Billing Determinants'!$B$19:$N$41,8,0)/'4. Billing Determinants'!$I$41*$D24, VLOOKUP(H$4,'4. Billing Determinants'!$B$19:$N$41,3,0)/'4. Billing Determinants'!$D$41*$D24))))),0)</f>
        <v>0</v>
      </c>
      <c r="I24" s="75">
        <f>IFERROR(IF(I$4="",0,IF($E24="kWh",VLOOKUP(I$4,'4. Billing Determinants'!$B$19:$N$41,4,0)/'4. Billing Determinants'!$E$41*$D24,IF($E24="kW",VLOOKUP(I$4,'4. Billing Determinants'!$B$19:$N$41,5,0)/'4. Billing Determinants'!$F$41*$D24,IF($E24="Non-RPP kWh",VLOOKUP(I$4,'4. Billing Determinants'!$B$19:$N$41,6,0)/'4. Billing Determinants'!$G$41*$D24,IF($E24="Distribution Rev.",VLOOKUP(I$4,'4. Billing Determinants'!$B$19:$N$41,8,0)/'4. Billing Determinants'!$I$41*$D24, VLOOKUP(I$4,'4. Billing Determinants'!$B$19:$N$41,3,0)/'4. Billing Determinants'!$D$41*$D24))))),0)</f>
        <v>0</v>
      </c>
      <c r="J24" s="75">
        <f>IFERROR(IF(J$4="",0,IF($E24="kWh",VLOOKUP(J$4,'4. Billing Determinants'!$B$19:$N$41,4,0)/'4. Billing Determinants'!$E$41*$D24,IF($E24="kW",VLOOKUP(J$4,'4. Billing Determinants'!$B$19:$N$41,5,0)/'4. Billing Determinants'!$F$41*$D24,IF($E24="Non-RPP kWh",VLOOKUP(J$4,'4. Billing Determinants'!$B$19:$N$41,6,0)/'4. Billing Determinants'!$G$41*$D24,IF($E24="Distribution Rev.",VLOOKUP(J$4,'4. Billing Determinants'!$B$19:$N$41,8,0)/'4. Billing Determinants'!$I$41*$D24, VLOOKUP(J$4,'4. Billing Determinants'!$B$19:$N$41,3,0)/'4. Billing Determinants'!$D$41*$D24))))),0)</f>
        <v>0</v>
      </c>
      <c r="K24" s="75">
        <f>IFERROR(IF(K$4="",0,IF($E24="kWh",VLOOKUP(K$4,'4. Billing Determinants'!$B$19:$N$41,4,0)/'4. Billing Determinants'!$E$41*$D24,IF($E24="kW",VLOOKUP(K$4,'4. Billing Determinants'!$B$19:$N$41,5,0)/'4. Billing Determinants'!$F$41*$D24,IF($E24="Non-RPP kWh",VLOOKUP(K$4,'4. Billing Determinants'!$B$19:$N$41,6,0)/'4. Billing Determinants'!$G$41*$D24,IF($E24="Distribution Rev.",VLOOKUP(K$4,'4. Billing Determinants'!$B$19:$N$41,8,0)/'4. Billing Determinants'!$I$41*$D24, VLOOKUP(K$4,'4. Billing Determinants'!$B$19:$N$41,3,0)/'4. Billing Determinants'!$D$41*$D24))))),0)</f>
        <v>0</v>
      </c>
      <c r="L24" s="75">
        <f>IFERROR(IF(L$4="",0,IF($E24="kWh",VLOOKUP(L$4,'4. Billing Determinants'!$B$19:$N$41,4,0)/'4. Billing Determinants'!$E$41*$D24,IF($E24="kW",VLOOKUP(L$4,'4. Billing Determinants'!$B$19:$N$41,5,0)/'4. Billing Determinants'!$F$41*$D24,IF($E24="Non-RPP kWh",VLOOKUP(L$4,'4. Billing Determinants'!$B$19:$N$41,6,0)/'4. Billing Determinants'!$G$41*$D24,IF($E24="Distribution Rev.",VLOOKUP(L$4,'4. Billing Determinants'!$B$19:$N$41,8,0)/'4. Billing Determinants'!$I$41*$D24, VLOOKUP(L$4,'4. Billing Determinants'!$B$19:$N$41,3,0)/'4. Billing Determinants'!$D$41*$D24))))),0)</f>
        <v>0</v>
      </c>
      <c r="M24" s="75">
        <f>IFERROR(IF(M$4="",0,IF($E24="kWh",VLOOKUP(M$4,'4. Billing Determinants'!$B$19:$N$41,4,0)/'4. Billing Determinants'!$E$41*$D24,IF($E24="kW",VLOOKUP(M$4,'4. Billing Determinants'!$B$19:$N$41,5,0)/'4. Billing Determinants'!$F$41*$D24,IF($E24="Non-RPP kWh",VLOOKUP(M$4,'4. Billing Determinants'!$B$19:$N$41,6,0)/'4. Billing Determinants'!$G$41*$D24,IF($E24="Distribution Rev.",VLOOKUP(M$4,'4. Billing Determinants'!$B$19:$N$41,8,0)/'4. Billing Determinants'!$I$41*$D24, VLOOKUP(M$4,'4. Billing Determinants'!$B$19:$N$41,3,0)/'4. Billing Determinants'!$D$41*$D24))))),0)</f>
        <v>0</v>
      </c>
      <c r="N24" s="75">
        <f>IFERROR(IF(N$4="",0,IF($E24="kWh",VLOOKUP(N$4,'4. Billing Determinants'!$B$19:$N$41,4,0)/'4. Billing Determinants'!$E$41*$D24,IF($E24="kW",VLOOKUP(N$4,'4. Billing Determinants'!$B$19:$N$41,5,0)/'4. Billing Determinants'!$F$41*$D24,IF($E24="Non-RPP kWh",VLOOKUP(N$4,'4. Billing Determinants'!$B$19:$N$41,6,0)/'4. Billing Determinants'!$G$41*$D24,IF($E24="Distribution Rev.",VLOOKUP(N$4,'4. Billing Determinants'!$B$19:$N$41,8,0)/'4. Billing Determinants'!$I$41*$D24, VLOOKUP(N$4,'4. Billing Determinants'!$B$19:$N$41,3,0)/'4. Billing Determinants'!$D$41*$D24))))),0)</f>
        <v>0</v>
      </c>
      <c r="O24" s="75">
        <f>IFERROR(IF(O$4="",0,IF($E24="kWh",VLOOKUP(O$4,'4. Billing Determinants'!$B$19:$N$41,4,0)/'4. Billing Determinants'!$E$41*$D24,IF($E24="kW",VLOOKUP(O$4,'4. Billing Determinants'!$B$19:$N$41,5,0)/'4. Billing Determinants'!$F$41*$D24,IF($E24="Non-RPP kWh",VLOOKUP(O$4,'4. Billing Determinants'!$B$19:$N$41,6,0)/'4. Billing Determinants'!$G$41*$D24,IF($E24="Distribution Rev.",VLOOKUP(O$4,'4. Billing Determinants'!$B$19:$N$41,8,0)/'4. Billing Determinants'!$I$41*$D24, VLOOKUP(O$4,'4. Billing Determinants'!$B$19:$N$41,3,0)/'4. Billing Determinants'!$D$41*$D24))))),0)</f>
        <v>0</v>
      </c>
      <c r="P24" s="75">
        <f>IFERROR(IF(P$4="",0,IF($E24="kWh",VLOOKUP(P$4,'4. Billing Determinants'!$B$19:$N$41,4,0)/'4. Billing Determinants'!$E$41*$D24,IF($E24="kW",VLOOKUP(P$4,'4. Billing Determinants'!$B$19:$N$41,5,0)/'4. Billing Determinants'!$F$41*$D24,IF($E24="Non-RPP kWh",VLOOKUP(P$4,'4. Billing Determinants'!$B$19:$N$41,6,0)/'4. Billing Determinants'!$G$41*$D24,IF($E24="Distribution Rev.",VLOOKUP(P$4,'4. Billing Determinants'!$B$19:$N$41,8,0)/'4. Billing Determinants'!$I$41*$D24, VLOOKUP(P$4,'4. Billing Determinants'!$B$19:$N$41,3,0)/'4. Billing Determinants'!$D$41*$D24))))),0)</f>
        <v>0</v>
      </c>
      <c r="Q24" s="75">
        <f>IFERROR(IF(Q$4="",0,IF($E24="kWh",VLOOKUP(Q$4,'4. Billing Determinants'!$B$19:$N$41,4,0)/'4. Billing Determinants'!$E$41*$D24,IF($E24="kW",VLOOKUP(Q$4,'4. Billing Determinants'!$B$19:$N$41,5,0)/'4. Billing Determinants'!$F$41*$D24,IF($E24="Non-RPP kWh",VLOOKUP(Q$4,'4. Billing Determinants'!$B$19:$N$41,6,0)/'4. Billing Determinants'!$G$41*$D24,IF($E24="Distribution Rev.",VLOOKUP(Q$4,'4. Billing Determinants'!$B$19:$N$41,8,0)/'4. Billing Determinants'!$I$41*$D24, VLOOKUP(Q$4,'4. Billing Determinants'!$B$19:$N$41,3,0)/'4. Billing Determinants'!$D$41*$D24))))),0)</f>
        <v>0</v>
      </c>
      <c r="R24" s="75">
        <f>IFERROR(IF(R$4="",0,IF($E24="kWh",VLOOKUP(R$4,'4. Billing Determinants'!$B$19:$N$41,4,0)/'4. Billing Determinants'!$E$41*$D24,IF($E24="kW",VLOOKUP(R$4,'4. Billing Determinants'!$B$19:$N$41,5,0)/'4. Billing Determinants'!$F$41*$D24,IF($E24="Non-RPP kWh",VLOOKUP(R$4,'4. Billing Determinants'!$B$19:$N$41,6,0)/'4. Billing Determinants'!$G$41*$D24,IF($E24="Distribution Rev.",VLOOKUP(R$4,'4. Billing Determinants'!$B$19:$N$41,8,0)/'4. Billing Determinants'!$I$41*$D24, VLOOKUP(R$4,'4. Billing Determinants'!$B$19:$N$41,3,0)/'4. Billing Determinants'!$D$41*$D24))))),0)</f>
        <v>0</v>
      </c>
      <c r="S24" s="75">
        <f>IFERROR(IF(S$4="",0,IF($E24="kWh",VLOOKUP(S$4,'4. Billing Determinants'!$B$19:$N$41,4,0)/'4. Billing Determinants'!$E$41*$D24,IF($E24="kW",VLOOKUP(S$4,'4. Billing Determinants'!$B$19:$N$41,5,0)/'4. Billing Determinants'!$F$41*$D24,IF($E24="Non-RPP kWh",VLOOKUP(S$4,'4. Billing Determinants'!$B$19:$N$41,6,0)/'4. Billing Determinants'!$G$41*$D24,IF($E24="Distribution Rev.",VLOOKUP(S$4,'4. Billing Determinants'!$B$19:$N$41,8,0)/'4. Billing Determinants'!$I$41*$D24, VLOOKUP(S$4,'4. Billing Determinants'!$B$19:$N$41,3,0)/'4. Billing Determinants'!$D$41*$D24))))),0)</f>
        <v>0</v>
      </c>
      <c r="T24" s="75">
        <f>IFERROR(IF(T$4="",0,IF($E24="kWh",VLOOKUP(T$4,'4. Billing Determinants'!$B$19:$N$41,4,0)/'4. Billing Determinants'!$E$41*$D24,IF($E24="kW",VLOOKUP(T$4,'4. Billing Determinants'!$B$19:$N$41,5,0)/'4. Billing Determinants'!$F$41*$D24,IF($E24="Non-RPP kWh",VLOOKUP(T$4,'4. Billing Determinants'!$B$19:$N$41,6,0)/'4. Billing Determinants'!$G$41*$D24,IF($E24="Distribution Rev.",VLOOKUP(T$4,'4. Billing Determinants'!$B$19:$N$41,8,0)/'4. Billing Determinants'!$I$41*$D24, VLOOKUP(T$4,'4. Billing Determinants'!$B$19:$N$41,3,0)/'4. Billing Determinants'!$D$41*$D24))))),0)</f>
        <v>0</v>
      </c>
      <c r="U24" s="75">
        <f>IFERROR(IF(U$4="",0,IF($E24="kWh",VLOOKUP(U$4,'4. Billing Determinants'!$B$19:$N$41,4,0)/'4. Billing Determinants'!$E$41*$D24,IF($E24="kW",VLOOKUP(U$4,'4. Billing Determinants'!$B$19:$N$41,5,0)/'4. Billing Determinants'!$F$41*$D24,IF($E24="Non-RPP kWh",VLOOKUP(U$4,'4. Billing Determinants'!$B$19:$N$41,6,0)/'4. Billing Determinants'!$G$41*$D24,IF($E24="Distribution Rev.",VLOOKUP(U$4,'4. Billing Determinants'!$B$19:$N$41,8,0)/'4. Billing Determinants'!$I$41*$D24, VLOOKUP(U$4,'4. Billing Determinants'!$B$19:$N$41,3,0)/'4. Billing Determinants'!$D$41*$D24))))),0)</f>
        <v>0</v>
      </c>
      <c r="V24" s="75">
        <f>IFERROR(IF(V$4="",0,IF($E24="kWh",VLOOKUP(V$4,'4. Billing Determinants'!$B$19:$N$41,4,0)/'4. Billing Determinants'!$E$41*$D24,IF($E24="kW",VLOOKUP(V$4,'4. Billing Determinants'!$B$19:$N$41,5,0)/'4. Billing Determinants'!$F$41*$D24,IF($E24="Non-RPP kWh",VLOOKUP(V$4,'4. Billing Determinants'!$B$19:$N$41,6,0)/'4. Billing Determinants'!$G$41*$D24,IF($E24="Distribution Rev.",VLOOKUP(V$4,'4. Billing Determinants'!$B$19:$N$41,8,0)/'4. Billing Determinants'!$I$41*$D24, VLOOKUP(V$4,'4. Billing Determinants'!$B$19:$N$41,3,0)/'4. Billing Determinants'!$D$41*$D24))))),0)</f>
        <v>0</v>
      </c>
      <c r="W24" s="75">
        <f>IFERROR(IF(W$4="",0,IF($E24="kWh",VLOOKUP(W$4,'4. Billing Determinants'!$B$19:$N$41,4,0)/'4. Billing Determinants'!$E$41*$D24,IF($E24="kW",VLOOKUP(W$4,'4. Billing Determinants'!$B$19:$N$41,5,0)/'4. Billing Determinants'!$F$41*$D24,IF($E24="Non-RPP kWh",VLOOKUP(W$4,'4. Billing Determinants'!$B$19:$N$41,6,0)/'4. Billing Determinants'!$G$41*$D24,IF($E24="Distribution Rev.",VLOOKUP(W$4,'4. Billing Determinants'!$B$19:$N$41,8,0)/'4. Billing Determinants'!$I$41*$D24, VLOOKUP(W$4,'4. Billing Determinants'!$B$19:$N$41,3,0)/'4. Billing Determinants'!$D$41*$D24))))),0)</f>
        <v>0</v>
      </c>
      <c r="X24" s="75">
        <f>IFERROR(IF(X$4="",0,IF($E24="kWh",VLOOKUP(X$4,'4. Billing Determinants'!$B$19:$N$41,4,0)/'4. Billing Determinants'!$E$41*$D24,IF($E24="kW",VLOOKUP(X$4,'4. Billing Determinants'!$B$19:$N$41,5,0)/'4. Billing Determinants'!$F$41*$D24,IF($E24="Non-RPP kWh",VLOOKUP(X$4,'4. Billing Determinants'!$B$19:$N$41,6,0)/'4. Billing Determinants'!$G$41*$D24,IF($E24="Distribution Rev.",VLOOKUP(X$4,'4. Billing Determinants'!$B$19:$N$41,8,0)/'4. Billing Determinants'!$I$41*$D24, VLOOKUP(X$4,'4. Billing Determinants'!$B$19:$N$41,3,0)/'4. Billing Determinants'!$D$41*$D24))))),0)</f>
        <v>0</v>
      </c>
      <c r="Y24" s="75">
        <f>IFERROR(IF(Y$4="",0,IF($E24="kWh",VLOOKUP(Y$4,'4. Billing Determinants'!$B$19:$N$41,4,0)/'4. Billing Determinants'!$E$41*$D24,IF($E24="kW",VLOOKUP(Y$4,'4. Billing Determinants'!$B$19:$N$41,5,0)/'4. Billing Determinants'!$F$41*$D24,IF($E24="Non-RPP kWh",VLOOKUP(Y$4,'4. Billing Determinants'!$B$19:$N$41,6,0)/'4. Billing Determinants'!$G$41*$D24,IF($E24="Distribution Rev.",VLOOKUP(Y$4,'4. Billing Determinants'!$B$19:$N$41,8,0)/'4. Billing Determinants'!$I$41*$D24, VLOOKUP(Y$4,'4. Billing Determinants'!$B$19:$N$41,3,0)/'4. Billing Determinants'!$D$41*$D24))))),0)</f>
        <v>0</v>
      </c>
    </row>
    <row r="25" spans="2:25" x14ac:dyDescent="0.2">
      <c r="B25" s="73" t="s">
        <v>4</v>
      </c>
      <c r="C25" s="74">
        <v>1518</v>
      </c>
      <c r="D25" s="75">
        <f>'2. 2013 Continuity Schedule'!CP48</f>
        <v>331364.82999999996</v>
      </c>
      <c r="E25" s="208" t="s">
        <v>157</v>
      </c>
      <c r="F25" s="75">
        <f>IFERROR(IF(F$4="",0,IF($E25="kWh",VLOOKUP(F$4,'4. Billing Determinants'!$B$19:$N$41,4,0)/'4. Billing Determinants'!$E$41*$D25,IF($E25="kW",VLOOKUP(F$4,'4. Billing Determinants'!$B$19:$N$41,5,0)/'4. Billing Determinants'!$F$41*$D25,IF($E25="Non-RPP kWh",VLOOKUP(F$4,'4. Billing Determinants'!$B$19:$N$41,6,0)/'4. Billing Determinants'!$G$41*$D25,IF($E25="Distribution Rev.",VLOOKUP(F$4,'4. Billing Determinants'!$B$19:$N$41,8,0)/'4. Billing Determinants'!$I$41*$D25, VLOOKUP(F$4,'4. Billing Determinants'!$B$19:$N$41,3,0)/'4. Billing Determinants'!$D$41*$D25))))),0)</f>
        <v>284941.66475196416</v>
      </c>
      <c r="G25" s="75">
        <f>IFERROR(IF(G$4="",0,IF($E25="kWh",VLOOKUP(G$4,'4. Billing Determinants'!$B$19:$N$41,4,0)/'4. Billing Determinants'!$E$41*$D25,IF($E25="kW",VLOOKUP(G$4,'4. Billing Determinants'!$B$19:$N$41,5,0)/'4. Billing Determinants'!$F$41*$D25,IF($E25="Non-RPP kWh",VLOOKUP(G$4,'4. Billing Determinants'!$B$19:$N$41,6,0)/'4. Billing Determinants'!$G$41*$D25,IF($E25="Distribution Rev.",VLOOKUP(G$4,'4. Billing Determinants'!$B$19:$N$41,8,0)/'4. Billing Determinants'!$I$41*$D25, VLOOKUP(G$4,'4. Billing Determinants'!$B$19:$N$41,3,0)/'4. Billing Determinants'!$D$41*$D25))))),0)</f>
        <v>35479.588960350811</v>
      </c>
      <c r="H25" s="75">
        <f>IFERROR(IF(H$4="",0,IF($E25="kWh",VLOOKUP(H$4,'4. Billing Determinants'!$B$19:$N$41,4,0)/'4. Billing Determinants'!$E$41*$D25,IF($E25="kW",VLOOKUP(H$4,'4. Billing Determinants'!$B$19:$N$41,5,0)/'4. Billing Determinants'!$F$41*$D25,IF($E25="Non-RPP kWh",VLOOKUP(H$4,'4. Billing Determinants'!$B$19:$N$41,6,0)/'4. Billing Determinants'!$G$41*$D25,IF($E25="Distribution Rev.",VLOOKUP(H$4,'4. Billing Determinants'!$B$19:$N$41,8,0)/'4. Billing Determinants'!$I$41*$D25, VLOOKUP(H$4,'4. Billing Determinants'!$B$19:$N$41,3,0)/'4. Billing Determinants'!$D$41*$D25))))),0)</f>
        <v>2391.5422592727932</v>
      </c>
      <c r="I25" s="75">
        <f>IFERROR(IF(I$4="",0,IF($E25="kWh",VLOOKUP(I$4,'4. Billing Determinants'!$B$19:$N$41,4,0)/'4. Billing Determinants'!$E$41*$D25,IF($E25="kW",VLOOKUP(I$4,'4. Billing Determinants'!$B$19:$N$41,5,0)/'4. Billing Determinants'!$F$41*$D25,IF($E25="Non-RPP kWh",VLOOKUP(I$4,'4. Billing Determinants'!$B$19:$N$41,6,0)/'4. Billing Determinants'!$G$41*$D25,IF($E25="Distribution Rev.",VLOOKUP(I$4,'4. Billing Determinants'!$B$19:$N$41,8,0)/'4. Billing Determinants'!$I$41*$D25, VLOOKUP(I$4,'4. Billing Determinants'!$B$19:$N$41,3,0)/'4. Billing Determinants'!$D$41*$D25))))),0)</f>
        <v>7507.626332906997</v>
      </c>
      <c r="J25" s="75">
        <f>IFERROR(IF(J$4="",0,IF($E25="kWh",VLOOKUP(J$4,'4. Billing Determinants'!$B$19:$N$41,4,0)/'4. Billing Determinants'!$E$41*$D25,IF($E25="kW",VLOOKUP(J$4,'4. Billing Determinants'!$B$19:$N$41,5,0)/'4. Billing Determinants'!$F$41*$D25,IF($E25="Non-RPP kWh",VLOOKUP(J$4,'4. Billing Determinants'!$B$19:$N$41,6,0)/'4. Billing Determinants'!$G$41*$D25,IF($E25="Distribution Rev.",VLOOKUP(J$4,'4. Billing Determinants'!$B$19:$N$41,8,0)/'4. Billing Determinants'!$I$41*$D25, VLOOKUP(J$4,'4. Billing Determinants'!$B$19:$N$41,3,0)/'4. Billing Determinants'!$D$41*$D25))))),0)</f>
        <v>30.272686826237894</v>
      </c>
      <c r="K25" s="75">
        <f>IFERROR(IF(K$4="",0,IF($E25="kWh",VLOOKUP(K$4,'4. Billing Determinants'!$B$19:$N$41,4,0)/'4. Billing Determinants'!$E$41*$D25,IF($E25="kW",VLOOKUP(K$4,'4. Billing Determinants'!$B$19:$N$41,5,0)/'4. Billing Determinants'!$F$41*$D25,IF($E25="Non-RPP kWh",VLOOKUP(K$4,'4. Billing Determinants'!$B$19:$N$41,6,0)/'4. Billing Determinants'!$G$41*$D25,IF($E25="Distribution Rev.",VLOOKUP(K$4,'4. Billing Determinants'!$B$19:$N$41,8,0)/'4. Billing Determinants'!$I$41*$D25, VLOOKUP(K$4,'4. Billing Determinants'!$B$19:$N$41,3,0)/'4. Billing Determinants'!$D$41*$D25))))),0)</f>
        <v>1014.1350086789694</v>
      </c>
      <c r="L25" s="75">
        <f>IFERROR(IF(L$4="",0,IF($E25="kWh",VLOOKUP(L$4,'4. Billing Determinants'!$B$19:$N$41,4,0)/'4. Billing Determinants'!$E$41*$D25,IF($E25="kW",VLOOKUP(L$4,'4. Billing Determinants'!$B$19:$N$41,5,0)/'4. Billing Determinants'!$F$41*$D25,IF($E25="Non-RPP kWh",VLOOKUP(L$4,'4. Billing Determinants'!$B$19:$N$41,6,0)/'4. Billing Determinants'!$G$41*$D25,IF($E25="Distribution Rev.",VLOOKUP(L$4,'4. Billing Determinants'!$B$19:$N$41,8,0)/'4. Billing Determinants'!$I$41*$D25, VLOOKUP(L$4,'4. Billing Determinants'!$B$19:$N$41,3,0)/'4. Billing Determinants'!$D$41*$D25))))),0)</f>
        <v>0</v>
      </c>
      <c r="M25" s="75">
        <f>IFERROR(IF(M$4="",0,IF($E25="kWh",VLOOKUP(M$4,'4. Billing Determinants'!$B$19:$N$41,4,0)/'4. Billing Determinants'!$E$41*$D25,IF($E25="kW",VLOOKUP(M$4,'4. Billing Determinants'!$B$19:$N$41,5,0)/'4. Billing Determinants'!$F$41*$D25,IF($E25="Non-RPP kWh",VLOOKUP(M$4,'4. Billing Determinants'!$B$19:$N$41,6,0)/'4. Billing Determinants'!$G$41*$D25,IF($E25="Distribution Rev.",VLOOKUP(M$4,'4. Billing Determinants'!$B$19:$N$41,8,0)/'4. Billing Determinants'!$I$41*$D25, VLOOKUP(M$4,'4. Billing Determinants'!$B$19:$N$41,3,0)/'4. Billing Determinants'!$D$41*$D25))))),0)</f>
        <v>0</v>
      </c>
      <c r="N25" s="75">
        <f>IFERROR(IF(N$4="",0,IF($E25="kWh",VLOOKUP(N$4,'4. Billing Determinants'!$B$19:$N$41,4,0)/'4. Billing Determinants'!$E$41*$D25,IF($E25="kW",VLOOKUP(N$4,'4. Billing Determinants'!$B$19:$N$41,5,0)/'4. Billing Determinants'!$F$41*$D25,IF($E25="Non-RPP kWh",VLOOKUP(N$4,'4. Billing Determinants'!$B$19:$N$41,6,0)/'4. Billing Determinants'!$G$41*$D25,IF($E25="Distribution Rev.",VLOOKUP(N$4,'4. Billing Determinants'!$B$19:$N$41,8,0)/'4. Billing Determinants'!$I$41*$D25, VLOOKUP(N$4,'4. Billing Determinants'!$B$19:$N$41,3,0)/'4. Billing Determinants'!$D$41*$D25))))),0)</f>
        <v>0</v>
      </c>
      <c r="O25" s="75">
        <f>IFERROR(IF(O$4="",0,IF($E25="kWh",VLOOKUP(O$4,'4. Billing Determinants'!$B$19:$N$41,4,0)/'4. Billing Determinants'!$E$41*$D25,IF($E25="kW",VLOOKUP(O$4,'4. Billing Determinants'!$B$19:$N$41,5,0)/'4. Billing Determinants'!$F$41*$D25,IF($E25="Non-RPP kWh",VLOOKUP(O$4,'4. Billing Determinants'!$B$19:$N$41,6,0)/'4. Billing Determinants'!$G$41*$D25,IF($E25="Distribution Rev.",VLOOKUP(O$4,'4. Billing Determinants'!$B$19:$N$41,8,0)/'4. Billing Determinants'!$I$41*$D25, VLOOKUP(O$4,'4. Billing Determinants'!$B$19:$N$41,3,0)/'4. Billing Determinants'!$D$41*$D25))))),0)</f>
        <v>0</v>
      </c>
      <c r="P25" s="75">
        <f>IFERROR(IF(P$4="",0,IF($E25="kWh",VLOOKUP(P$4,'4. Billing Determinants'!$B$19:$N$41,4,0)/'4. Billing Determinants'!$E$41*$D25,IF($E25="kW",VLOOKUP(P$4,'4. Billing Determinants'!$B$19:$N$41,5,0)/'4. Billing Determinants'!$F$41*$D25,IF($E25="Non-RPP kWh",VLOOKUP(P$4,'4. Billing Determinants'!$B$19:$N$41,6,0)/'4. Billing Determinants'!$G$41*$D25,IF($E25="Distribution Rev.",VLOOKUP(P$4,'4. Billing Determinants'!$B$19:$N$41,8,0)/'4. Billing Determinants'!$I$41*$D25, VLOOKUP(P$4,'4. Billing Determinants'!$B$19:$N$41,3,0)/'4. Billing Determinants'!$D$41*$D25))))),0)</f>
        <v>0</v>
      </c>
      <c r="Q25" s="75">
        <f>IFERROR(IF(Q$4="",0,IF($E25="kWh",VLOOKUP(Q$4,'4. Billing Determinants'!$B$19:$N$41,4,0)/'4. Billing Determinants'!$E$41*$D25,IF($E25="kW",VLOOKUP(Q$4,'4. Billing Determinants'!$B$19:$N$41,5,0)/'4. Billing Determinants'!$F$41*$D25,IF($E25="Non-RPP kWh",VLOOKUP(Q$4,'4. Billing Determinants'!$B$19:$N$41,6,0)/'4. Billing Determinants'!$G$41*$D25,IF($E25="Distribution Rev.",VLOOKUP(Q$4,'4. Billing Determinants'!$B$19:$N$41,8,0)/'4. Billing Determinants'!$I$41*$D25, VLOOKUP(Q$4,'4. Billing Determinants'!$B$19:$N$41,3,0)/'4. Billing Determinants'!$D$41*$D25))))),0)</f>
        <v>0</v>
      </c>
      <c r="R25" s="75">
        <f>IFERROR(IF(R$4="",0,IF($E25="kWh",VLOOKUP(R$4,'4. Billing Determinants'!$B$19:$N$41,4,0)/'4. Billing Determinants'!$E$41*$D25,IF($E25="kW",VLOOKUP(R$4,'4. Billing Determinants'!$B$19:$N$41,5,0)/'4. Billing Determinants'!$F$41*$D25,IF($E25="Non-RPP kWh",VLOOKUP(R$4,'4. Billing Determinants'!$B$19:$N$41,6,0)/'4. Billing Determinants'!$G$41*$D25,IF($E25="Distribution Rev.",VLOOKUP(R$4,'4. Billing Determinants'!$B$19:$N$41,8,0)/'4. Billing Determinants'!$I$41*$D25, VLOOKUP(R$4,'4. Billing Determinants'!$B$19:$N$41,3,0)/'4. Billing Determinants'!$D$41*$D25))))),0)</f>
        <v>0</v>
      </c>
      <c r="S25" s="75">
        <f>IFERROR(IF(S$4="",0,IF($E25="kWh",VLOOKUP(S$4,'4. Billing Determinants'!$B$19:$N$41,4,0)/'4. Billing Determinants'!$E$41*$D25,IF($E25="kW",VLOOKUP(S$4,'4. Billing Determinants'!$B$19:$N$41,5,0)/'4. Billing Determinants'!$F$41*$D25,IF($E25="Non-RPP kWh",VLOOKUP(S$4,'4. Billing Determinants'!$B$19:$N$41,6,0)/'4. Billing Determinants'!$G$41*$D25,IF($E25="Distribution Rev.",VLOOKUP(S$4,'4. Billing Determinants'!$B$19:$N$41,8,0)/'4. Billing Determinants'!$I$41*$D25, VLOOKUP(S$4,'4. Billing Determinants'!$B$19:$N$41,3,0)/'4. Billing Determinants'!$D$41*$D25))))),0)</f>
        <v>0</v>
      </c>
      <c r="T25" s="75">
        <f>IFERROR(IF(T$4="",0,IF($E25="kWh",VLOOKUP(T$4,'4. Billing Determinants'!$B$19:$N$41,4,0)/'4. Billing Determinants'!$E$41*$D25,IF($E25="kW",VLOOKUP(T$4,'4. Billing Determinants'!$B$19:$N$41,5,0)/'4. Billing Determinants'!$F$41*$D25,IF($E25="Non-RPP kWh",VLOOKUP(T$4,'4. Billing Determinants'!$B$19:$N$41,6,0)/'4. Billing Determinants'!$G$41*$D25,IF($E25="Distribution Rev.",VLOOKUP(T$4,'4. Billing Determinants'!$B$19:$N$41,8,0)/'4. Billing Determinants'!$I$41*$D25, VLOOKUP(T$4,'4. Billing Determinants'!$B$19:$N$41,3,0)/'4. Billing Determinants'!$D$41*$D25))))),0)</f>
        <v>0</v>
      </c>
      <c r="U25" s="75">
        <f>IFERROR(IF(U$4="",0,IF($E25="kWh",VLOOKUP(U$4,'4. Billing Determinants'!$B$19:$N$41,4,0)/'4. Billing Determinants'!$E$41*$D25,IF($E25="kW",VLOOKUP(U$4,'4. Billing Determinants'!$B$19:$N$41,5,0)/'4. Billing Determinants'!$F$41*$D25,IF($E25="Non-RPP kWh",VLOOKUP(U$4,'4. Billing Determinants'!$B$19:$N$41,6,0)/'4. Billing Determinants'!$G$41*$D25,IF($E25="Distribution Rev.",VLOOKUP(U$4,'4. Billing Determinants'!$B$19:$N$41,8,0)/'4. Billing Determinants'!$I$41*$D25, VLOOKUP(U$4,'4. Billing Determinants'!$B$19:$N$41,3,0)/'4. Billing Determinants'!$D$41*$D25))))),0)</f>
        <v>0</v>
      </c>
      <c r="V25" s="75">
        <f>IFERROR(IF(V$4="",0,IF($E25="kWh",VLOOKUP(V$4,'4. Billing Determinants'!$B$19:$N$41,4,0)/'4. Billing Determinants'!$E$41*$D25,IF($E25="kW",VLOOKUP(V$4,'4. Billing Determinants'!$B$19:$N$41,5,0)/'4. Billing Determinants'!$F$41*$D25,IF($E25="Non-RPP kWh",VLOOKUP(V$4,'4. Billing Determinants'!$B$19:$N$41,6,0)/'4. Billing Determinants'!$G$41*$D25,IF($E25="Distribution Rev.",VLOOKUP(V$4,'4. Billing Determinants'!$B$19:$N$41,8,0)/'4. Billing Determinants'!$I$41*$D25, VLOOKUP(V$4,'4. Billing Determinants'!$B$19:$N$41,3,0)/'4. Billing Determinants'!$D$41*$D25))))),0)</f>
        <v>0</v>
      </c>
      <c r="W25" s="75">
        <f>IFERROR(IF(W$4="",0,IF($E25="kWh",VLOOKUP(W$4,'4. Billing Determinants'!$B$19:$N$41,4,0)/'4. Billing Determinants'!$E$41*$D25,IF($E25="kW",VLOOKUP(W$4,'4. Billing Determinants'!$B$19:$N$41,5,0)/'4. Billing Determinants'!$F$41*$D25,IF($E25="Non-RPP kWh",VLOOKUP(W$4,'4. Billing Determinants'!$B$19:$N$41,6,0)/'4. Billing Determinants'!$G$41*$D25,IF($E25="Distribution Rev.",VLOOKUP(W$4,'4. Billing Determinants'!$B$19:$N$41,8,0)/'4. Billing Determinants'!$I$41*$D25, VLOOKUP(W$4,'4. Billing Determinants'!$B$19:$N$41,3,0)/'4. Billing Determinants'!$D$41*$D25))))),0)</f>
        <v>0</v>
      </c>
      <c r="X25" s="75">
        <f>IFERROR(IF(X$4="",0,IF($E25="kWh",VLOOKUP(X$4,'4. Billing Determinants'!$B$19:$N$41,4,0)/'4. Billing Determinants'!$E$41*$D25,IF($E25="kW",VLOOKUP(X$4,'4. Billing Determinants'!$B$19:$N$41,5,0)/'4. Billing Determinants'!$F$41*$D25,IF($E25="Non-RPP kWh",VLOOKUP(X$4,'4. Billing Determinants'!$B$19:$N$41,6,0)/'4. Billing Determinants'!$G$41*$D25,IF($E25="Distribution Rev.",VLOOKUP(X$4,'4. Billing Determinants'!$B$19:$N$41,8,0)/'4. Billing Determinants'!$I$41*$D25, VLOOKUP(X$4,'4. Billing Determinants'!$B$19:$N$41,3,0)/'4. Billing Determinants'!$D$41*$D25))))),0)</f>
        <v>0</v>
      </c>
      <c r="Y25" s="75">
        <f>IFERROR(IF(Y$4="",0,IF($E25="kWh",VLOOKUP(Y$4,'4. Billing Determinants'!$B$19:$N$41,4,0)/'4. Billing Determinants'!$E$41*$D25,IF($E25="kW",VLOOKUP(Y$4,'4. Billing Determinants'!$B$19:$N$41,5,0)/'4. Billing Determinants'!$F$41*$D25,IF($E25="Non-RPP kWh",VLOOKUP(Y$4,'4. Billing Determinants'!$B$19:$N$41,6,0)/'4. Billing Determinants'!$G$41*$D25,IF($E25="Distribution Rev.",VLOOKUP(Y$4,'4. Billing Determinants'!$B$19:$N$41,8,0)/'4. Billing Determinants'!$I$41*$D25, VLOOKUP(Y$4,'4. Billing Determinants'!$B$19:$N$41,3,0)/'4. Billing Determinants'!$D$41*$D25))))),0)</f>
        <v>0</v>
      </c>
    </row>
    <row r="26" spans="2:25" x14ac:dyDescent="0.2">
      <c r="B26" s="73" t="s">
        <v>17</v>
      </c>
      <c r="C26" s="74">
        <v>1525</v>
      </c>
      <c r="D26" s="75">
        <f>'2. 2013 Continuity Schedule'!CP49</f>
        <v>0</v>
      </c>
      <c r="E26" s="208"/>
      <c r="F26" s="75">
        <f>IFERROR(IF(F$4="",0,IF($E26="kWh",VLOOKUP(F$4,'4. Billing Determinants'!$B$19:$N$41,4,0)/'4. Billing Determinants'!$E$41*$D26,IF($E26="kW",VLOOKUP(F$4,'4. Billing Determinants'!$B$19:$N$41,5,0)/'4. Billing Determinants'!$F$41*$D26,IF($E26="Non-RPP kWh",VLOOKUP(F$4,'4. Billing Determinants'!$B$19:$N$41,6,0)/'4. Billing Determinants'!$G$41*$D26,IF($E26="Distribution Rev.",VLOOKUP(F$4,'4. Billing Determinants'!$B$19:$N$41,8,0)/'4. Billing Determinants'!$I$41*$D26, VLOOKUP(F$4,'4. Billing Determinants'!$B$19:$N$41,3,0)/'4. Billing Determinants'!$D$41*$D26))))),0)</f>
        <v>0</v>
      </c>
      <c r="G26" s="75">
        <f>IFERROR(IF(G$4="",0,IF($E26="kWh",VLOOKUP(G$4,'4. Billing Determinants'!$B$19:$N$41,4,0)/'4. Billing Determinants'!$E$41*$D26,IF($E26="kW",VLOOKUP(G$4,'4. Billing Determinants'!$B$19:$N$41,5,0)/'4. Billing Determinants'!$F$41*$D26,IF($E26="Non-RPP kWh",VLOOKUP(G$4,'4. Billing Determinants'!$B$19:$N$41,6,0)/'4. Billing Determinants'!$G$41*$D26,IF($E26="Distribution Rev.",VLOOKUP(G$4,'4. Billing Determinants'!$B$19:$N$41,8,0)/'4. Billing Determinants'!$I$41*$D26, VLOOKUP(G$4,'4. Billing Determinants'!$B$19:$N$41,3,0)/'4. Billing Determinants'!$D$41*$D26))))),0)</f>
        <v>0</v>
      </c>
      <c r="H26" s="75">
        <f>IFERROR(IF(H$4="",0,IF($E26="kWh",VLOOKUP(H$4,'4. Billing Determinants'!$B$19:$N$41,4,0)/'4. Billing Determinants'!$E$41*$D26,IF($E26="kW",VLOOKUP(H$4,'4. Billing Determinants'!$B$19:$N$41,5,0)/'4. Billing Determinants'!$F$41*$D26,IF($E26="Non-RPP kWh",VLOOKUP(H$4,'4. Billing Determinants'!$B$19:$N$41,6,0)/'4. Billing Determinants'!$G$41*$D26,IF($E26="Distribution Rev.",VLOOKUP(H$4,'4. Billing Determinants'!$B$19:$N$41,8,0)/'4. Billing Determinants'!$I$41*$D26, VLOOKUP(H$4,'4. Billing Determinants'!$B$19:$N$41,3,0)/'4. Billing Determinants'!$D$41*$D26))))),0)</f>
        <v>0</v>
      </c>
      <c r="I26" s="75">
        <f>IFERROR(IF(I$4="",0,IF($E26="kWh",VLOOKUP(I$4,'4. Billing Determinants'!$B$19:$N$41,4,0)/'4. Billing Determinants'!$E$41*$D26,IF($E26="kW",VLOOKUP(I$4,'4. Billing Determinants'!$B$19:$N$41,5,0)/'4. Billing Determinants'!$F$41*$D26,IF($E26="Non-RPP kWh",VLOOKUP(I$4,'4. Billing Determinants'!$B$19:$N$41,6,0)/'4. Billing Determinants'!$G$41*$D26,IF($E26="Distribution Rev.",VLOOKUP(I$4,'4. Billing Determinants'!$B$19:$N$41,8,0)/'4. Billing Determinants'!$I$41*$D26, VLOOKUP(I$4,'4. Billing Determinants'!$B$19:$N$41,3,0)/'4. Billing Determinants'!$D$41*$D26))))),0)</f>
        <v>0</v>
      </c>
      <c r="J26" s="75">
        <f>IFERROR(IF(J$4="",0,IF($E26="kWh",VLOOKUP(J$4,'4. Billing Determinants'!$B$19:$N$41,4,0)/'4. Billing Determinants'!$E$41*$D26,IF($E26="kW",VLOOKUP(J$4,'4. Billing Determinants'!$B$19:$N$41,5,0)/'4. Billing Determinants'!$F$41*$D26,IF($E26="Non-RPP kWh",VLOOKUP(J$4,'4. Billing Determinants'!$B$19:$N$41,6,0)/'4. Billing Determinants'!$G$41*$D26,IF($E26="Distribution Rev.",VLOOKUP(J$4,'4. Billing Determinants'!$B$19:$N$41,8,0)/'4. Billing Determinants'!$I$41*$D26, VLOOKUP(J$4,'4. Billing Determinants'!$B$19:$N$41,3,0)/'4. Billing Determinants'!$D$41*$D26))))),0)</f>
        <v>0</v>
      </c>
      <c r="K26" s="75">
        <f>IFERROR(IF(K$4="",0,IF($E26="kWh",VLOOKUP(K$4,'4. Billing Determinants'!$B$19:$N$41,4,0)/'4. Billing Determinants'!$E$41*$D26,IF($E26="kW",VLOOKUP(K$4,'4. Billing Determinants'!$B$19:$N$41,5,0)/'4. Billing Determinants'!$F$41*$D26,IF($E26="Non-RPP kWh",VLOOKUP(K$4,'4. Billing Determinants'!$B$19:$N$41,6,0)/'4. Billing Determinants'!$G$41*$D26,IF($E26="Distribution Rev.",VLOOKUP(K$4,'4. Billing Determinants'!$B$19:$N$41,8,0)/'4. Billing Determinants'!$I$41*$D26, VLOOKUP(K$4,'4. Billing Determinants'!$B$19:$N$41,3,0)/'4. Billing Determinants'!$D$41*$D26))))),0)</f>
        <v>0</v>
      </c>
      <c r="L26" s="75">
        <f>IFERROR(IF(L$4="",0,IF($E26="kWh",VLOOKUP(L$4,'4. Billing Determinants'!$B$19:$N$41,4,0)/'4. Billing Determinants'!$E$41*$D26,IF($E26="kW",VLOOKUP(L$4,'4. Billing Determinants'!$B$19:$N$41,5,0)/'4. Billing Determinants'!$F$41*$D26,IF($E26="Non-RPP kWh",VLOOKUP(L$4,'4. Billing Determinants'!$B$19:$N$41,6,0)/'4. Billing Determinants'!$G$41*$D26,IF($E26="Distribution Rev.",VLOOKUP(L$4,'4. Billing Determinants'!$B$19:$N$41,8,0)/'4. Billing Determinants'!$I$41*$D26, VLOOKUP(L$4,'4. Billing Determinants'!$B$19:$N$41,3,0)/'4. Billing Determinants'!$D$41*$D26))))),0)</f>
        <v>0</v>
      </c>
      <c r="M26" s="75">
        <f>IFERROR(IF(M$4="",0,IF($E26="kWh",VLOOKUP(M$4,'4. Billing Determinants'!$B$19:$N$41,4,0)/'4. Billing Determinants'!$E$41*$D26,IF($E26="kW",VLOOKUP(M$4,'4. Billing Determinants'!$B$19:$N$41,5,0)/'4. Billing Determinants'!$F$41*$D26,IF($E26="Non-RPP kWh",VLOOKUP(M$4,'4. Billing Determinants'!$B$19:$N$41,6,0)/'4. Billing Determinants'!$G$41*$D26,IF($E26="Distribution Rev.",VLOOKUP(M$4,'4. Billing Determinants'!$B$19:$N$41,8,0)/'4. Billing Determinants'!$I$41*$D26, VLOOKUP(M$4,'4. Billing Determinants'!$B$19:$N$41,3,0)/'4. Billing Determinants'!$D$41*$D26))))),0)</f>
        <v>0</v>
      </c>
      <c r="N26" s="75">
        <f>IFERROR(IF(N$4="",0,IF($E26="kWh",VLOOKUP(N$4,'4. Billing Determinants'!$B$19:$N$41,4,0)/'4. Billing Determinants'!$E$41*$D26,IF($E26="kW",VLOOKUP(N$4,'4. Billing Determinants'!$B$19:$N$41,5,0)/'4. Billing Determinants'!$F$41*$D26,IF($E26="Non-RPP kWh",VLOOKUP(N$4,'4. Billing Determinants'!$B$19:$N$41,6,0)/'4. Billing Determinants'!$G$41*$D26,IF($E26="Distribution Rev.",VLOOKUP(N$4,'4. Billing Determinants'!$B$19:$N$41,8,0)/'4. Billing Determinants'!$I$41*$D26, VLOOKUP(N$4,'4. Billing Determinants'!$B$19:$N$41,3,0)/'4. Billing Determinants'!$D$41*$D26))))),0)</f>
        <v>0</v>
      </c>
      <c r="O26" s="75">
        <f>IFERROR(IF(O$4="",0,IF($E26="kWh",VLOOKUP(O$4,'4. Billing Determinants'!$B$19:$N$41,4,0)/'4. Billing Determinants'!$E$41*$D26,IF($E26="kW",VLOOKUP(O$4,'4. Billing Determinants'!$B$19:$N$41,5,0)/'4. Billing Determinants'!$F$41*$D26,IF($E26="Non-RPP kWh",VLOOKUP(O$4,'4. Billing Determinants'!$B$19:$N$41,6,0)/'4. Billing Determinants'!$G$41*$D26,IF($E26="Distribution Rev.",VLOOKUP(O$4,'4. Billing Determinants'!$B$19:$N$41,8,0)/'4. Billing Determinants'!$I$41*$D26, VLOOKUP(O$4,'4. Billing Determinants'!$B$19:$N$41,3,0)/'4. Billing Determinants'!$D$41*$D26))))),0)</f>
        <v>0</v>
      </c>
      <c r="P26" s="75">
        <f>IFERROR(IF(P$4="",0,IF($E26="kWh",VLOOKUP(P$4,'4. Billing Determinants'!$B$19:$N$41,4,0)/'4. Billing Determinants'!$E$41*$D26,IF($E26="kW",VLOOKUP(P$4,'4. Billing Determinants'!$B$19:$N$41,5,0)/'4. Billing Determinants'!$F$41*$D26,IF($E26="Non-RPP kWh",VLOOKUP(P$4,'4. Billing Determinants'!$B$19:$N$41,6,0)/'4. Billing Determinants'!$G$41*$D26,IF($E26="Distribution Rev.",VLOOKUP(P$4,'4. Billing Determinants'!$B$19:$N$41,8,0)/'4. Billing Determinants'!$I$41*$D26, VLOOKUP(P$4,'4. Billing Determinants'!$B$19:$N$41,3,0)/'4. Billing Determinants'!$D$41*$D26))))),0)</f>
        <v>0</v>
      </c>
      <c r="Q26" s="75">
        <f>IFERROR(IF(Q$4="",0,IF($E26="kWh",VLOOKUP(Q$4,'4. Billing Determinants'!$B$19:$N$41,4,0)/'4. Billing Determinants'!$E$41*$D26,IF($E26="kW",VLOOKUP(Q$4,'4. Billing Determinants'!$B$19:$N$41,5,0)/'4. Billing Determinants'!$F$41*$D26,IF($E26="Non-RPP kWh",VLOOKUP(Q$4,'4. Billing Determinants'!$B$19:$N$41,6,0)/'4. Billing Determinants'!$G$41*$D26,IF($E26="Distribution Rev.",VLOOKUP(Q$4,'4. Billing Determinants'!$B$19:$N$41,8,0)/'4. Billing Determinants'!$I$41*$D26, VLOOKUP(Q$4,'4. Billing Determinants'!$B$19:$N$41,3,0)/'4. Billing Determinants'!$D$41*$D26))))),0)</f>
        <v>0</v>
      </c>
      <c r="R26" s="75">
        <f>IFERROR(IF(R$4="",0,IF($E26="kWh",VLOOKUP(R$4,'4. Billing Determinants'!$B$19:$N$41,4,0)/'4. Billing Determinants'!$E$41*$D26,IF($E26="kW",VLOOKUP(R$4,'4. Billing Determinants'!$B$19:$N$41,5,0)/'4. Billing Determinants'!$F$41*$D26,IF($E26="Non-RPP kWh",VLOOKUP(R$4,'4. Billing Determinants'!$B$19:$N$41,6,0)/'4. Billing Determinants'!$G$41*$D26,IF($E26="Distribution Rev.",VLOOKUP(R$4,'4. Billing Determinants'!$B$19:$N$41,8,0)/'4. Billing Determinants'!$I$41*$D26, VLOOKUP(R$4,'4. Billing Determinants'!$B$19:$N$41,3,0)/'4. Billing Determinants'!$D$41*$D26))))),0)</f>
        <v>0</v>
      </c>
      <c r="S26" s="75">
        <f>IFERROR(IF(S$4="",0,IF($E26="kWh",VLOOKUP(S$4,'4. Billing Determinants'!$B$19:$N$41,4,0)/'4. Billing Determinants'!$E$41*$D26,IF($E26="kW",VLOOKUP(S$4,'4. Billing Determinants'!$B$19:$N$41,5,0)/'4. Billing Determinants'!$F$41*$D26,IF($E26="Non-RPP kWh",VLOOKUP(S$4,'4. Billing Determinants'!$B$19:$N$41,6,0)/'4. Billing Determinants'!$G$41*$D26,IF($E26="Distribution Rev.",VLOOKUP(S$4,'4. Billing Determinants'!$B$19:$N$41,8,0)/'4. Billing Determinants'!$I$41*$D26, VLOOKUP(S$4,'4. Billing Determinants'!$B$19:$N$41,3,0)/'4. Billing Determinants'!$D$41*$D26))))),0)</f>
        <v>0</v>
      </c>
      <c r="T26" s="75">
        <f>IFERROR(IF(T$4="",0,IF($E26="kWh",VLOOKUP(T$4,'4. Billing Determinants'!$B$19:$N$41,4,0)/'4. Billing Determinants'!$E$41*$D26,IF($E26="kW",VLOOKUP(T$4,'4. Billing Determinants'!$B$19:$N$41,5,0)/'4. Billing Determinants'!$F$41*$D26,IF($E26="Non-RPP kWh",VLOOKUP(T$4,'4. Billing Determinants'!$B$19:$N$41,6,0)/'4. Billing Determinants'!$G$41*$D26,IF($E26="Distribution Rev.",VLOOKUP(T$4,'4. Billing Determinants'!$B$19:$N$41,8,0)/'4. Billing Determinants'!$I$41*$D26, VLOOKUP(T$4,'4. Billing Determinants'!$B$19:$N$41,3,0)/'4. Billing Determinants'!$D$41*$D26))))),0)</f>
        <v>0</v>
      </c>
      <c r="U26" s="75">
        <f>IFERROR(IF(U$4="",0,IF($E26="kWh",VLOOKUP(U$4,'4. Billing Determinants'!$B$19:$N$41,4,0)/'4. Billing Determinants'!$E$41*$D26,IF($E26="kW",VLOOKUP(U$4,'4. Billing Determinants'!$B$19:$N$41,5,0)/'4. Billing Determinants'!$F$41*$D26,IF($E26="Non-RPP kWh",VLOOKUP(U$4,'4. Billing Determinants'!$B$19:$N$41,6,0)/'4. Billing Determinants'!$G$41*$D26,IF($E26="Distribution Rev.",VLOOKUP(U$4,'4. Billing Determinants'!$B$19:$N$41,8,0)/'4. Billing Determinants'!$I$41*$D26, VLOOKUP(U$4,'4. Billing Determinants'!$B$19:$N$41,3,0)/'4. Billing Determinants'!$D$41*$D26))))),0)</f>
        <v>0</v>
      </c>
      <c r="V26" s="75">
        <f>IFERROR(IF(V$4="",0,IF($E26="kWh",VLOOKUP(V$4,'4. Billing Determinants'!$B$19:$N$41,4,0)/'4. Billing Determinants'!$E$41*$D26,IF($E26="kW",VLOOKUP(V$4,'4. Billing Determinants'!$B$19:$N$41,5,0)/'4. Billing Determinants'!$F$41*$D26,IF($E26="Non-RPP kWh",VLOOKUP(V$4,'4. Billing Determinants'!$B$19:$N$41,6,0)/'4. Billing Determinants'!$G$41*$D26,IF($E26="Distribution Rev.",VLOOKUP(V$4,'4. Billing Determinants'!$B$19:$N$41,8,0)/'4. Billing Determinants'!$I$41*$D26, VLOOKUP(V$4,'4. Billing Determinants'!$B$19:$N$41,3,0)/'4. Billing Determinants'!$D$41*$D26))))),0)</f>
        <v>0</v>
      </c>
      <c r="W26" s="75">
        <f>IFERROR(IF(W$4="",0,IF($E26="kWh",VLOOKUP(W$4,'4. Billing Determinants'!$B$19:$N$41,4,0)/'4. Billing Determinants'!$E$41*$D26,IF($E26="kW",VLOOKUP(W$4,'4. Billing Determinants'!$B$19:$N$41,5,0)/'4. Billing Determinants'!$F$41*$D26,IF($E26="Non-RPP kWh",VLOOKUP(W$4,'4. Billing Determinants'!$B$19:$N$41,6,0)/'4. Billing Determinants'!$G$41*$D26,IF($E26="Distribution Rev.",VLOOKUP(W$4,'4. Billing Determinants'!$B$19:$N$41,8,0)/'4. Billing Determinants'!$I$41*$D26, VLOOKUP(W$4,'4. Billing Determinants'!$B$19:$N$41,3,0)/'4. Billing Determinants'!$D$41*$D26))))),0)</f>
        <v>0</v>
      </c>
      <c r="X26" s="75">
        <f>IFERROR(IF(X$4="",0,IF($E26="kWh",VLOOKUP(X$4,'4. Billing Determinants'!$B$19:$N$41,4,0)/'4. Billing Determinants'!$E$41*$D26,IF($E26="kW",VLOOKUP(X$4,'4. Billing Determinants'!$B$19:$N$41,5,0)/'4. Billing Determinants'!$F$41*$D26,IF($E26="Non-RPP kWh",VLOOKUP(X$4,'4. Billing Determinants'!$B$19:$N$41,6,0)/'4. Billing Determinants'!$G$41*$D26,IF($E26="Distribution Rev.",VLOOKUP(X$4,'4. Billing Determinants'!$B$19:$N$41,8,0)/'4. Billing Determinants'!$I$41*$D26, VLOOKUP(X$4,'4. Billing Determinants'!$B$19:$N$41,3,0)/'4. Billing Determinants'!$D$41*$D26))))),0)</f>
        <v>0</v>
      </c>
      <c r="Y26" s="75">
        <f>IFERROR(IF(Y$4="",0,IF($E26="kWh",VLOOKUP(Y$4,'4. Billing Determinants'!$B$19:$N$41,4,0)/'4. Billing Determinants'!$E$41*$D26,IF($E26="kW",VLOOKUP(Y$4,'4. Billing Determinants'!$B$19:$N$41,5,0)/'4. Billing Determinants'!$F$41*$D26,IF($E26="Non-RPP kWh",VLOOKUP(Y$4,'4. Billing Determinants'!$B$19:$N$41,6,0)/'4. Billing Determinants'!$G$41*$D26,IF($E26="Distribution Rev.",VLOOKUP(Y$4,'4. Billing Determinants'!$B$19:$N$41,8,0)/'4. Billing Determinants'!$I$41*$D26, VLOOKUP(Y$4,'4. Billing Determinants'!$B$19:$N$41,3,0)/'4. Billing Determinants'!$D$41*$D26))))),0)</f>
        <v>0</v>
      </c>
    </row>
    <row r="27" spans="2:25" x14ac:dyDescent="0.2">
      <c r="B27" s="73" t="s">
        <v>64</v>
      </c>
      <c r="C27" s="74">
        <v>1531</v>
      </c>
      <c r="D27" s="75">
        <f>'2. 2013 Continuity Schedule'!CP50</f>
        <v>0</v>
      </c>
      <c r="E27" s="208"/>
      <c r="F27" s="75">
        <f>IFERROR(IF(F$4="",0,IF($E27="kWh",VLOOKUP(F$4,'4. Billing Determinants'!$B$19:$N$41,4,0)/'4. Billing Determinants'!$E$41*$D27,IF($E27="kW",VLOOKUP(F$4,'4. Billing Determinants'!$B$19:$N$41,5,0)/'4. Billing Determinants'!$F$41*$D27,IF($E27="Non-RPP kWh",VLOOKUP(F$4,'4. Billing Determinants'!$B$19:$N$41,6,0)/'4. Billing Determinants'!$G$41*$D27,IF($E27="Distribution Rev.",VLOOKUP(F$4,'4. Billing Determinants'!$B$19:$N$41,8,0)/'4. Billing Determinants'!$I$41*$D27, VLOOKUP(F$4,'4. Billing Determinants'!$B$19:$N$41,3,0)/'4. Billing Determinants'!$D$41*$D27))))),0)</f>
        <v>0</v>
      </c>
      <c r="G27" s="75">
        <f>IFERROR(IF(G$4="",0,IF($E27="kWh",VLOOKUP(G$4,'4. Billing Determinants'!$B$19:$N$41,4,0)/'4. Billing Determinants'!$E$41*$D27,IF($E27="kW",VLOOKUP(G$4,'4. Billing Determinants'!$B$19:$N$41,5,0)/'4. Billing Determinants'!$F$41*$D27,IF($E27="Non-RPP kWh",VLOOKUP(G$4,'4. Billing Determinants'!$B$19:$N$41,6,0)/'4. Billing Determinants'!$G$41*$D27,IF($E27="Distribution Rev.",VLOOKUP(G$4,'4. Billing Determinants'!$B$19:$N$41,8,0)/'4. Billing Determinants'!$I$41*$D27, VLOOKUP(G$4,'4. Billing Determinants'!$B$19:$N$41,3,0)/'4. Billing Determinants'!$D$41*$D27))))),0)</f>
        <v>0</v>
      </c>
      <c r="H27" s="75">
        <f>IFERROR(IF(H$4="",0,IF($E27="kWh",VLOOKUP(H$4,'4. Billing Determinants'!$B$19:$N$41,4,0)/'4. Billing Determinants'!$E$41*$D27,IF($E27="kW",VLOOKUP(H$4,'4. Billing Determinants'!$B$19:$N$41,5,0)/'4. Billing Determinants'!$F$41*$D27,IF($E27="Non-RPP kWh",VLOOKUP(H$4,'4. Billing Determinants'!$B$19:$N$41,6,0)/'4. Billing Determinants'!$G$41*$D27,IF($E27="Distribution Rev.",VLOOKUP(H$4,'4. Billing Determinants'!$B$19:$N$41,8,0)/'4. Billing Determinants'!$I$41*$D27, VLOOKUP(H$4,'4. Billing Determinants'!$B$19:$N$41,3,0)/'4. Billing Determinants'!$D$41*$D27))))),0)</f>
        <v>0</v>
      </c>
      <c r="I27" s="75">
        <f>IFERROR(IF(I$4="",0,IF($E27="kWh",VLOOKUP(I$4,'4. Billing Determinants'!$B$19:$N$41,4,0)/'4. Billing Determinants'!$E$41*$D27,IF($E27="kW",VLOOKUP(I$4,'4. Billing Determinants'!$B$19:$N$41,5,0)/'4. Billing Determinants'!$F$41*$D27,IF($E27="Non-RPP kWh",VLOOKUP(I$4,'4. Billing Determinants'!$B$19:$N$41,6,0)/'4. Billing Determinants'!$G$41*$D27,IF($E27="Distribution Rev.",VLOOKUP(I$4,'4. Billing Determinants'!$B$19:$N$41,8,0)/'4. Billing Determinants'!$I$41*$D27, VLOOKUP(I$4,'4. Billing Determinants'!$B$19:$N$41,3,0)/'4. Billing Determinants'!$D$41*$D27))))),0)</f>
        <v>0</v>
      </c>
      <c r="J27" s="75">
        <f>IFERROR(IF(J$4="",0,IF($E27="kWh",VLOOKUP(J$4,'4. Billing Determinants'!$B$19:$N$41,4,0)/'4. Billing Determinants'!$E$41*$D27,IF($E27="kW",VLOOKUP(J$4,'4. Billing Determinants'!$B$19:$N$41,5,0)/'4. Billing Determinants'!$F$41*$D27,IF($E27="Non-RPP kWh",VLOOKUP(J$4,'4. Billing Determinants'!$B$19:$N$41,6,0)/'4. Billing Determinants'!$G$41*$D27,IF($E27="Distribution Rev.",VLOOKUP(J$4,'4. Billing Determinants'!$B$19:$N$41,8,0)/'4. Billing Determinants'!$I$41*$D27, VLOOKUP(J$4,'4. Billing Determinants'!$B$19:$N$41,3,0)/'4. Billing Determinants'!$D$41*$D27))))),0)</f>
        <v>0</v>
      </c>
      <c r="K27" s="75">
        <f>IFERROR(IF(K$4="",0,IF($E27="kWh",VLOOKUP(K$4,'4. Billing Determinants'!$B$19:$N$41,4,0)/'4. Billing Determinants'!$E$41*$D27,IF($E27="kW",VLOOKUP(K$4,'4. Billing Determinants'!$B$19:$N$41,5,0)/'4. Billing Determinants'!$F$41*$D27,IF($E27="Non-RPP kWh",VLOOKUP(K$4,'4. Billing Determinants'!$B$19:$N$41,6,0)/'4. Billing Determinants'!$G$41*$D27,IF($E27="Distribution Rev.",VLOOKUP(K$4,'4. Billing Determinants'!$B$19:$N$41,8,0)/'4. Billing Determinants'!$I$41*$D27, VLOOKUP(K$4,'4. Billing Determinants'!$B$19:$N$41,3,0)/'4. Billing Determinants'!$D$41*$D27))))),0)</f>
        <v>0</v>
      </c>
      <c r="L27" s="75">
        <f>IFERROR(IF(L$4="",0,IF($E27="kWh",VLOOKUP(L$4,'4. Billing Determinants'!$B$19:$N$41,4,0)/'4. Billing Determinants'!$E$41*$D27,IF($E27="kW",VLOOKUP(L$4,'4. Billing Determinants'!$B$19:$N$41,5,0)/'4. Billing Determinants'!$F$41*$D27,IF($E27="Non-RPP kWh",VLOOKUP(L$4,'4. Billing Determinants'!$B$19:$N$41,6,0)/'4. Billing Determinants'!$G$41*$D27,IF($E27="Distribution Rev.",VLOOKUP(L$4,'4. Billing Determinants'!$B$19:$N$41,8,0)/'4. Billing Determinants'!$I$41*$D27, VLOOKUP(L$4,'4. Billing Determinants'!$B$19:$N$41,3,0)/'4. Billing Determinants'!$D$41*$D27))))),0)</f>
        <v>0</v>
      </c>
      <c r="M27" s="75">
        <f>IFERROR(IF(M$4="",0,IF($E27="kWh",VLOOKUP(M$4,'4. Billing Determinants'!$B$19:$N$41,4,0)/'4. Billing Determinants'!$E$41*$D27,IF($E27="kW",VLOOKUP(M$4,'4. Billing Determinants'!$B$19:$N$41,5,0)/'4. Billing Determinants'!$F$41*$D27,IF($E27="Non-RPP kWh",VLOOKUP(M$4,'4. Billing Determinants'!$B$19:$N$41,6,0)/'4. Billing Determinants'!$G$41*$D27,IF($E27="Distribution Rev.",VLOOKUP(M$4,'4. Billing Determinants'!$B$19:$N$41,8,0)/'4. Billing Determinants'!$I$41*$D27, VLOOKUP(M$4,'4. Billing Determinants'!$B$19:$N$41,3,0)/'4. Billing Determinants'!$D$41*$D27))))),0)</f>
        <v>0</v>
      </c>
      <c r="N27" s="75">
        <f>IFERROR(IF(N$4="",0,IF($E27="kWh",VLOOKUP(N$4,'4. Billing Determinants'!$B$19:$N$41,4,0)/'4. Billing Determinants'!$E$41*$D27,IF($E27="kW",VLOOKUP(N$4,'4. Billing Determinants'!$B$19:$N$41,5,0)/'4. Billing Determinants'!$F$41*$D27,IF($E27="Non-RPP kWh",VLOOKUP(N$4,'4. Billing Determinants'!$B$19:$N$41,6,0)/'4. Billing Determinants'!$G$41*$D27,IF($E27="Distribution Rev.",VLOOKUP(N$4,'4. Billing Determinants'!$B$19:$N$41,8,0)/'4. Billing Determinants'!$I$41*$D27, VLOOKUP(N$4,'4. Billing Determinants'!$B$19:$N$41,3,0)/'4. Billing Determinants'!$D$41*$D27))))),0)</f>
        <v>0</v>
      </c>
      <c r="O27" s="75">
        <f>IFERROR(IF(O$4="",0,IF($E27="kWh",VLOOKUP(O$4,'4. Billing Determinants'!$B$19:$N$41,4,0)/'4. Billing Determinants'!$E$41*$D27,IF($E27="kW",VLOOKUP(O$4,'4. Billing Determinants'!$B$19:$N$41,5,0)/'4. Billing Determinants'!$F$41*$D27,IF($E27="Non-RPP kWh",VLOOKUP(O$4,'4. Billing Determinants'!$B$19:$N$41,6,0)/'4. Billing Determinants'!$G$41*$D27,IF($E27="Distribution Rev.",VLOOKUP(O$4,'4. Billing Determinants'!$B$19:$N$41,8,0)/'4. Billing Determinants'!$I$41*$D27, VLOOKUP(O$4,'4. Billing Determinants'!$B$19:$N$41,3,0)/'4. Billing Determinants'!$D$41*$D27))))),0)</f>
        <v>0</v>
      </c>
      <c r="P27" s="75">
        <f>IFERROR(IF(P$4="",0,IF($E27="kWh",VLOOKUP(P$4,'4. Billing Determinants'!$B$19:$N$41,4,0)/'4. Billing Determinants'!$E$41*$D27,IF($E27="kW",VLOOKUP(P$4,'4. Billing Determinants'!$B$19:$N$41,5,0)/'4. Billing Determinants'!$F$41*$D27,IF($E27="Non-RPP kWh",VLOOKUP(P$4,'4. Billing Determinants'!$B$19:$N$41,6,0)/'4. Billing Determinants'!$G$41*$D27,IF($E27="Distribution Rev.",VLOOKUP(P$4,'4. Billing Determinants'!$B$19:$N$41,8,0)/'4. Billing Determinants'!$I$41*$D27, VLOOKUP(P$4,'4. Billing Determinants'!$B$19:$N$41,3,0)/'4. Billing Determinants'!$D$41*$D27))))),0)</f>
        <v>0</v>
      </c>
      <c r="Q27" s="75">
        <f>IFERROR(IF(Q$4="",0,IF($E27="kWh",VLOOKUP(Q$4,'4. Billing Determinants'!$B$19:$N$41,4,0)/'4. Billing Determinants'!$E$41*$D27,IF($E27="kW",VLOOKUP(Q$4,'4. Billing Determinants'!$B$19:$N$41,5,0)/'4. Billing Determinants'!$F$41*$D27,IF($E27="Non-RPP kWh",VLOOKUP(Q$4,'4. Billing Determinants'!$B$19:$N$41,6,0)/'4. Billing Determinants'!$G$41*$D27,IF($E27="Distribution Rev.",VLOOKUP(Q$4,'4. Billing Determinants'!$B$19:$N$41,8,0)/'4. Billing Determinants'!$I$41*$D27, VLOOKUP(Q$4,'4. Billing Determinants'!$B$19:$N$41,3,0)/'4. Billing Determinants'!$D$41*$D27))))),0)</f>
        <v>0</v>
      </c>
      <c r="R27" s="75">
        <f>IFERROR(IF(R$4="",0,IF($E27="kWh",VLOOKUP(R$4,'4. Billing Determinants'!$B$19:$N$41,4,0)/'4. Billing Determinants'!$E$41*$D27,IF($E27="kW",VLOOKUP(R$4,'4. Billing Determinants'!$B$19:$N$41,5,0)/'4. Billing Determinants'!$F$41*$D27,IF($E27="Non-RPP kWh",VLOOKUP(R$4,'4. Billing Determinants'!$B$19:$N$41,6,0)/'4. Billing Determinants'!$G$41*$D27,IF($E27="Distribution Rev.",VLOOKUP(R$4,'4. Billing Determinants'!$B$19:$N$41,8,0)/'4. Billing Determinants'!$I$41*$D27, VLOOKUP(R$4,'4. Billing Determinants'!$B$19:$N$41,3,0)/'4. Billing Determinants'!$D$41*$D27))))),0)</f>
        <v>0</v>
      </c>
      <c r="S27" s="75">
        <f>IFERROR(IF(S$4="",0,IF($E27="kWh",VLOOKUP(S$4,'4. Billing Determinants'!$B$19:$N$41,4,0)/'4. Billing Determinants'!$E$41*$D27,IF($E27="kW",VLOOKUP(S$4,'4. Billing Determinants'!$B$19:$N$41,5,0)/'4. Billing Determinants'!$F$41*$D27,IF($E27="Non-RPP kWh",VLOOKUP(S$4,'4. Billing Determinants'!$B$19:$N$41,6,0)/'4. Billing Determinants'!$G$41*$D27,IF($E27="Distribution Rev.",VLOOKUP(S$4,'4. Billing Determinants'!$B$19:$N$41,8,0)/'4. Billing Determinants'!$I$41*$D27, VLOOKUP(S$4,'4. Billing Determinants'!$B$19:$N$41,3,0)/'4. Billing Determinants'!$D$41*$D27))))),0)</f>
        <v>0</v>
      </c>
      <c r="T27" s="75">
        <f>IFERROR(IF(T$4="",0,IF($E27="kWh",VLOOKUP(T$4,'4. Billing Determinants'!$B$19:$N$41,4,0)/'4. Billing Determinants'!$E$41*$D27,IF($E27="kW",VLOOKUP(T$4,'4. Billing Determinants'!$B$19:$N$41,5,0)/'4. Billing Determinants'!$F$41*$D27,IF($E27="Non-RPP kWh",VLOOKUP(T$4,'4. Billing Determinants'!$B$19:$N$41,6,0)/'4. Billing Determinants'!$G$41*$D27,IF($E27="Distribution Rev.",VLOOKUP(T$4,'4. Billing Determinants'!$B$19:$N$41,8,0)/'4. Billing Determinants'!$I$41*$D27, VLOOKUP(T$4,'4. Billing Determinants'!$B$19:$N$41,3,0)/'4. Billing Determinants'!$D$41*$D27))))),0)</f>
        <v>0</v>
      </c>
      <c r="U27" s="75">
        <f>IFERROR(IF(U$4="",0,IF($E27="kWh",VLOOKUP(U$4,'4. Billing Determinants'!$B$19:$N$41,4,0)/'4. Billing Determinants'!$E$41*$D27,IF($E27="kW",VLOOKUP(U$4,'4. Billing Determinants'!$B$19:$N$41,5,0)/'4. Billing Determinants'!$F$41*$D27,IF($E27="Non-RPP kWh",VLOOKUP(U$4,'4. Billing Determinants'!$B$19:$N$41,6,0)/'4. Billing Determinants'!$G$41*$D27,IF($E27="Distribution Rev.",VLOOKUP(U$4,'4. Billing Determinants'!$B$19:$N$41,8,0)/'4. Billing Determinants'!$I$41*$D27, VLOOKUP(U$4,'4. Billing Determinants'!$B$19:$N$41,3,0)/'4. Billing Determinants'!$D$41*$D27))))),0)</f>
        <v>0</v>
      </c>
      <c r="V27" s="75">
        <f>IFERROR(IF(V$4="",0,IF($E27="kWh",VLOOKUP(V$4,'4. Billing Determinants'!$B$19:$N$41,4,0)/'4. Billing Determinants'!$E$41*$D27,IF($E27="kW",VLOOKUP(V$4,'4. Billing Determinants'!$B$19:$N$41,5,0)/'4. Billing Determinants'!$F$41*$D27,IF($E27="Non-RPP kWh",VLOOKUP(V$4,'4. Billing Determinants'!$B$19:$N$41,6,0)/'4. Billing Determinants'!$G$41*$D27,IF($E27="Distribution Rev.",VLOOKUP(V$4,'4. Billing Determinants'!$B$19:$N$41,8,0)/'4. Billing Determinants'!$I$41*$D27, VLOOKUP(V$4,'4. Billing Determinants'!$B$19:$N$41,3,0)/'4. Billing Determinants'!$D$41*$D27))))),0)</f>
        <v>0</v>
      </c>
      <c r="W27" s="75">
        <f>IFERROR(IF(W$4="",0,IF($E27="kWh",VLOOKUP(W$4,'4. Billing Determinants'!$B$19:$N$41,4,0)/'4. Billing Determinants'!$E$41*$D27,IF($E27="kW",VLOOKUP(W$4,'4. Billing Determinants'!$B$19:$N$41,5,0)/'4. Billing Determinants'!$F$41*$D27,IF($E27="Non-RPP kWh",VLOOKUP(W$4,'4. Billing Determinants'!$B$19:$N$41,6,0)/'4. Billing Determinants'!$G$41*$D27,IF($E27="Distribution Rev.",VLOOKUP(W$4,'4. Billing Determinants'!$B$19:$N$41,8,0)/'4. Billing Determinants'!$I$41*$D27, VLOOKUP(W$4,'4. Billing Determinants'!$B$19:$N$41,3,0)/'4. Billing Determinants'!$D$41*$D27))))),0)</f>
        <v>0</v>
      </c>
      <c r="X27" s="75">
        <f>IFERROR(IF(X$4="",0,IF($E27="kWh",VLOOKUP(X$4,'4. Billing Determinants'!$B$19:$N$41,4,0)/'4. Billing Determinants'!$E$41*$D27,IF($E27="kW",VLOOKUP(X$4,'4. Billing Determinants'!$B$19:$N$41,5,0)/'4. Billing Determinants'!$F$41*$D27,IF($E27="Non-RPP kWh",VLOOKUP(X$4,'4. Billing Determinants'!$B$19:$N$41,6,0)/'4. Billing Determinants'!$G$41*$D27,IF($E27="Distribution Rev.",VLOOKUP(X$4,'4. Billing Determinants'!$B$19:$N$41,8,0)/'4. Billing Determinants'!$I$41*$D27, VLOOKUP(X$4,'4. Billing Determinants'!$B$19:$N$41,3,0)/'4. Billing Determinants'!$D$41*$D27))))),0)</f>
        <v>0</v>
      </c>
      <c r="Y27" s="75">
        <f>IFERROR(IF(Y$4="",0,IF($E27="kWh",VLOOKUP(Y$4,'4. Billing Determinants'!$B$19:$N$41,4,0)/'4. Billing Determinants'!$E$41*$D27,IF($E27="kW",VLOOKUP(Y$4,'4. Billing Determinants'!$B$19:$N$41,5,0)/'4. Billing Determinants'!$F$41*$D27,IF($E27="Non-RPP kWh",VLOOKUP(Y$4,'4. Billing Determinants'!$B$19:$N$41,6,0)/'4. Billing Determinants'!$G$41*$D27,IF($E27="Distribution Rev.",VLOOKUP(Y$4,'4. Billing Determinants'!$B$19:$N$41,8,0)/'4. Billing Determinants'!$I$41*$D27, VLOOKUP(Y$4,'4. Billing Determinants'!$B$19:$N$41,3,0)/'4. Billing Determinants'!$D$41*$D27))))),0)</f>
        <v>0</v>
      </c>
    </row>
    <row r="28" spans="2:25" x14ac:dyDescent="0.2">
      <c r="B28" s="73" t="s">
        <v>65</v>
      </c>
      <c r="C28" s="74">
        <v>1532</v>
      </c>
      <c r="D28" s="75">
        <f>'2. 2013 Continuity Schedule'!CP51</f>
        <v>0</v>
      </c>
      <c r="E28" s="208"/>
      <c r="F28" s="75">
        <f>IFERROR(IF(F$4="",0,IF($E28="kWh",VLOOKUP(F$4,'4. Billing Determinants'!$B$19:$N$41,4,0)/'4. Billing Determinants'!$E$41*$D28,IF($E28="kW",VLOOKUP(F$4,'4. Billing Determinants'!$B$19:$N$41,5,0)/'4. Billing Determinants'!$F$41*$D28,IF($E28="Non-RPP kWh",VLOOKUP(F$4,'4. Billing Determinants'!$B$19:$N$41,6,0)/'4. Billing Determinants'!$G$41*$D28,IF($E28="Distribution Rev.",VLOOKUP(F$4,'4. Billing Determinants'!$B$19:$N$41,8,0)/'4. Billing Determinants'!$I$41*$D28, VLOOKUP(F$4,'4. Billing Determinants'!$B$19:$N$41,3,0)/'4. Billing Determinants'!$D$41*$D28))))),0)</f>
        <v>0</v>
      </c>
      <c r="G28" s="75">
        <f>IFERROR(IF(G$4="",0,IF($E28="kWh",VLOOKUP(G$4,'4. Billing Determinants'!$B$19:$N$41,4,0)/'4. Billing Determinants'!$E$41*$D28,IF($E28="kW",VLOOKUP(G$4,'4. Billing Determinants'!$B$19:$N$41,5,0)/'4. Billing Determinants'!$F$41*$D28,IF($E28="Non-RPP kWh",VLOOKUP(G$4,'4. Billing Determinants'!$B$19:$N$41,6,0)/'4. Billing Determinants'!$G$41*$D28,IF($E28="Distribution Rev.",VLOOKUP(G$4,'4. Billing Determinants'!$B$19:$N$41,8,0)/'4. Billing Determinants'!$I$41*$D28, VLOOKUP(G$4,'4. Billing Determinants'!$B$19:$N$41,3,0)/'4. Billing Determinants'!$D$41*$D28))))),0)</f>
        <v>0</v>
      </c>
      <c r="H28" s="75">
        <f>IFERROR(IF(H$4="",0,IF($E28="kWh",VLOOKUP(H$4,'4. Billing Determinants'!$B$19:$N$41,4,0)/'4. Billing Determinants'!$E$41*$D28,IF($E28="kW",VLOOKUP(H$4,'4. Billing Determinants'!$B$19:$N$41,5,0)/'4. Billing Determinants'!$F$41*$D28,IF($E28="Non-RPP kWh",VLOOKUP(H$4,'4. Billing Determinants'!$B$19:$N$41,6,0)/'4. Billing Determinants'!$G$41*$D28,IF($E28="Distribution Rev.",VLOOKUP(H$4,'4. Billing Determinants'!$B$19:$N$41,8,0)/'4. Billing Determinants'!$I$41*$D28, VLOOKUP(H$4,'4. Billing Determinants'!$B$19:$N$41,3,0)/'4. Billing Determinants'!$D$41*$D28))))),0)</f>
        <v>0</v>
      </c>
      <c r="I28" s="75">
        <f>IFERROR(IF(I$4="",0,IF($E28="kWh",VLOOKUP(I$4,'4. Billing Determinants'!$B$19:$N$41,4,0)/'4. Billing Determinants'!$E$41*$D28,IF($E28="kW",VLOOKUP(I$4,'4. Billing Determinants'!$B$19:$N$41,5,0)/'4. Billing Determinants'!$F$41*$D28,IF($E28="Non-RPP kWh",VLOOKUP(I$4,'4. Billing Determinants'!$B$19:$N$41,6,0)/'4. Billing Determinants'!$G$41*$D28,IF($E28="Distribution Rev.",VLOOKUP(I$4,'4. Billing Determinants'!$B$19:$N$41,8,0)/'4. Billing Determinants'!$I$41*$D28, VLOOKUP(I$4,'4. Billing Determinants'!$B$19:$N$41,3,0)/'4. Billing Determinants'!$D$41*$D28))))),0)</f>
        <v>0</v>
      </c>
      <c r="J28" s="75">
        <f>IFERROR(IF(J$4="",0,IF($E28="kWh",VLOOKUP(J$4,'4. Billing Determinants'!$B$19:$N$41,4,0)/'4. Billing Determinants'!$E$41*$D28,IF($E28="kW",VLOOKUP(J$4,'4. Billing Determinants'!$B$19:$N$41,5,0)/'4. Billing Determinants'!$F$41*$D28,IF($E28="Non-RPP kWh",VLOOKUP(J$4,'4. Billing Determinants'!$B$19:$N$41,6,0)/'4. Billing Determinants'!$G$41*$D28,IF($E28="Distribution Rev.",VLOOKUP(J$4,'4. Billing Determinants'!$B$19:$N$41,8,0)/'4. Billing Determinants'!$I$41*$D28, VLOOKUP(J$4,'4. Billing Determinants'!$B$19:$N$41,3,0)/'4. Billing Determinants'!$D$41*$D28))))),0)</f>
        <v>0</v>
      </c>
      <c r="K28" s="75">
        <f>IFERROR(IF(K$4="",0,IF($E28="kWh",VLOOKUP(K$4,'4. Billing Determinants'!$B$19:$N$41,4,0)/'4. Billing Determinants'!$E$41*$D28,IF($E28="kW",VLOOKUP(K$4,'4. Billing Determinants'!$B$19:$N$41,5,0)/'4. Billing Determinants'!$F$41*$D28,IF($E28="Non-RPP kWh",VLOOKUP(K$4,'4. Billing Determinants'!$B$19:$N$41,6,0)/'4. Billing Determinants'!$G$41*$D28,IF($E28="Distribution Rev.",VLOOKUP(K$4,'4. Billing Determinants'!$B$19:$N$41,8,0)/'4. Billing Determinants'!$I$41*$D28, VLOOKUP(K$4,'4. Billing Determinants'!$B$19:$N$41,3,0)/'4. Billing Determinants'!$D$41*$D28))))),0)</f>
        <v>0</v>
      </c>
      <c r="L28" s="75">
        <f>IFERROR(IF(L$4="",0,IF($E28="kWh",VLOOKUP(L$4,'4. Billing Determinants'!$B$19:$N$41,4,0)/'4. Billing Determinants'!$E$41*$D28,IF($E28="kW",VLOOKUP(L$4,'4. Billing Determinants'!$B$19:$N$41,5,0)/'4. Billing Determinants'!$F$41*$D28,IF($E28="Non-RPP kWh",VLOOKUP(L$4,'4. Billing Determinants'!$B$19:$N$41,6,0)/'4. Billing Determinants'!$G$41*$D28,IF($E28="Distribution Rev.",VLOOKUP(L$4,'4. Billing Determinants'!$B$19:$N$41,8,0)/'4. Billing Determinants'!$I$41*$D28, VLOOKUP(L$4,'4. Billing Determinants'!$B$19:$N$41,3,0)/'4. Billing Determinants'!$D$41*$D28))))),0)</f>
        <v>0</v>
      </c>
      <c r="M28" s="75">
        <f>IFERROR(IF(M$4="",0,IF($E28="kWh",VLOOKUP(M$4,'4. Billing Determinants'!$B$19:$N$41,4,0)/'4. Billing Determinants'!$E$41*$D28,IF($E28="kW",VLOOKUP(M$4,'4. Billing Determinants'!$B$19:$N$41,5,0)/'4. Billing Determinants'!$F$41*$D28,IF($E28="Non-RPP kWh",VLOOKUP(M$4,'4. Billing Determinants'!$B$19:$N$41,6,0)/'4. Billing Determinants'!$G$41*$D28,IF($E28="Distribution Rev.",VLOOKUP(M$4,'4. Billing Determinants'!$B$19:$N$41,8,0)/'4. Billing Determinants'!$I$41*$D28, VLOOKUP(M$4,'4. Billing Determinants'!$B$19:$N$41,3,0)/'4. Billing Determinants'!$D$41*$D28))))),0)</f>
        <v>0</v>
      </c>
      <c r="N28" s="75">
        <f>IFERROR(IF(N$4="",0,IF($E28="kWh",VLOOKUP(N$4,'4. Billing Determinants'!$B$19:$N$41,4,0)/'4. Billing Determinants'!$E$41*$D28,IF($E28="kW",VLOOKUP(N$4,'4. Billing Determinants'!$B$19:$N$41,5,0)/'4. Billing Determinants'!$F$41*$D28,IF($E28="Non-RPP kWh",VLOOKUP(N$4,'4. Billing Determinants'!$B$19:$N$41,6,0)/'4. Billing Determinants'!$G$41*$D28,IF($E28="Distribution Rev.",VLOOKUP(N$4,'4. Billing Determinants'!$B$19:$N$41,8,0)/'4. Billing Determinants'!$I$41*$D28, VLOOKUP(N$4,'4. Billing Determinants'!$B$19:$N$41,3,0)/'4. Billing Determinants'!$D$41*$D28))))),0)</f>
        <v>0</v>
      </c>
      <c r="O28" s="75">
        <f>IFERROR(IF(O$4="",0,IF($E28="kWh",VLOOKUP(O$4,'4. Billing Determinants'!$B$19:$N$41,4,0)/'4. Billing Determinants'!$E$41*$D28,IF($E28="kW",VLOOKUP(O$4,'4. Billing Determinants'!$B$19:$N$41,5,0)/'4. Billing Determinants'!$F$41*$D28,IF($E28="Non-RPP kWh",VLOOKUP(O$4,'4. Billing Determinants'!$B$19:$N$41,6,0)/'4. Billing Determinants'!$G$41*$D28,IF($E28="Distribution Rev.",VLOOKUP(O$4,'4. Billing Determinants'!$B$19:$N$41,8,0)/'4. Billing Determinants'!$I$41*$D28, VLOOKUP(O$4,'4. Billing Determinants'!$B$19:$N$41,3,0)/'4. Billing Determinants'!$D$41*$D28))))),0)</f>
        <v>0</v>
      </c>
      <c r="P28" s="75">
        <f>IFERROR(IF(P$4="",0,IF($E28="kWh",VLOOKUP(P$4,'4. Billing Determinants'!$B$19:$N$41,4,0)/'4. Billing Determinants'!$E$41*$D28,IF($E28="kW",VLOOKUP(P$4,'4. Billing Determinants'!$B$19:$N$41,5,0)/'4. Billing Determinants'!$F$41*$D28,IF($E28="Non-RPP kWh",VLOOKUP(P$4,'4. Billing Determinants'!$B$19:$N$41,6,0)/'4. Billing Determinants'!$G$41*$D28,IF($E28="Distribution Rev.",VLOOKUP(P$4,'4. Billing Determinants'!$B$19:$N$41,8,0)/'4. Billing Determinants'!$I$41*$D28, VLOOKUP(P$4,'4. Billing Determinants'!$B$19:$N$41,3,0)/'4. Billing Determinants'!$D$41*$D28))))),0)</f>
        <v>0</v>
      </c>
      <c r="Q28" s="75">
        <f>IFERROR(IF(Q$4="",0,IF($E28="kWh",VLOOKUP(Q$4,'4. Billing Determinants'!$B$19:$N$41,4,0)/'4. Billing Determinants'!$E$41*$D28,IF($E28="kW",VLOOKUP(Q$4,'4. Billing Determinants'!$B$19:$N$41,5,0)/'4. Billing Determinants'!$F$41*$D28,IF($E28="Non-RPP kWh",VLOOKUP(Q$4,'4. Billing Determinants'!$B$19:$N$41,6,0)/'4. Billing Determinants'!$G$41*$D28,IF($E28="Distribution Rev.",VLOOKUP(Q$4,'4. Billing Determinants'!$B$19:$N$41,8,0)/'4. Billing Determinants'!$I$41*$D28, VLOOKUP(Q$4,'4. Billing Determinants'!$B$19:$N$41,3,0)/'4. Billing Determinants'!$D$41*$D28))))),0)</f>
        <v>0</v>
      </c>
      <c r="R28" s="75">
        <f>IFERROR(IF(R$4="",0,IF($E28="kWh",VLOOKUP(R$4,'4. Billing Determinants'!$B$19:$N$41,4,0)/'4. Billing Determinants'!$E$41*$D28,IF($E28="kW",VLOOKUP(R$4,'4. Billing Determinants'!$B$19:$N$41,5,0)/'4. Billing Determinants'!$F$41*$D28,IF($E28="Non-RPP kWh",VLOOKUP(R$4,'4. Billing Determinants'!$B$19:$N$41,6,0)/'4. Billing Determinants'!$G$41*$D28,IF($E28="Distribution Rev.",VLOOKUP(R$4,'4. Billing Determinants'!$B$19:$N$41,8,0)/'4. Billing Determinants'!$I$41*$D28, VLOOKUP(R$4,'4. Billing Determinants'!$B$19:$N$41,3,0)/'4. Billing Determinants'!$D$41*$D28))))),0)</f>
        <v>0</v>
      </c>
      <c r="S28" s="75">
        <f>IFERROR(IF(S$4="",0,IF($E28="kWh",VLOOKUP(S$4,'4. Billing Determinants'!$B$19:$N$41,4,0)/'4. Billing Determinants'!$E$41*$D28,IF($E28="kW",VLOOKUP(S$4,'4. Billing Determinants'!$B$19:$N$41,5,0)/'4. Billing Determinants'!$F$41*$D28,IF($E28="Non-RPP kWh",VLOOKUP(S$4,'4. Billing Determinants'!$B$19:$N$41,6,0)/'4. Billing Determinants'!$G$41*$D28,IF($E28="Distribution Rev.",VLOOKUP(S$4,'4. Billing Determinants'!$B$19:$N$41,8,0)/'4. Billing Determinants'!$I$41*$D28, VLOOKUP(S$4,'4. Billing Determinants'!$B$19:$N$41,3,0)/'4. Billing Determinants'!$D$41*$D28))))),0)</f>
        <v>0</v>
      </c>
      <c r="T28" s="75">
        <f>IFERROR(IF(T$4="",0,IF($E28="kWh",VLOOKUP(T$4,'4. Billing Determinants'!$B$19:$N$41,4,0)/'4. Billing Determinants'!$E$41*$D28,IF($E28="kW",VLOOKUP(T$4,'4. Billing Determinants'!$B$19:$N$41,5,0)/'4. Billing Determinants'!$F$41*$D28,IF($E28="Non-RPP kWh",VLOOKUP(T$4,'4. Billing Determinants'!$B$19:$N$41,6,0)/'4. Billing Determinants'!$G$41*$D28,IF($E28="Distribution Rev.",VLOOKUP(T$4,'4. Billing Determinants'!$B$19:$N$41,8,0)/'4. Billing Determinants'!$I$41*$D28, VLOOKUP(T$4,'4. Billing Determinants'!$B$19:$N$41,3,0)/'4. Billing Determinants'!$D$41*$D28))))),0)</f>
        <v>0</v>
      </c>
      <c r="U28" s="75">
        <f>IFERROR(IF(U$4="",0,IF($E28="kWh",VLOOKUP(U$4,'4. Billing Determinants'!$B$19:$N$41,4,0)/'4. Billing Determinants'!$E$41*$D28,IF($E28="kW",VLOOKUP(U$4,'4. Billing Determinants'!$B$19:$N$41,5,0)/'4. Billing Determinants'!$F$41*$D28,IF($E28="Non-RPP kWh",VLOOKUP(U$4,'4. Billing Determinants'!$B$19:$N$41,6,0)/'4. Billing Determinants'!$G$41*$D28,IF($E28="Distribution Rev.",VLOOKUP(U$4,'4. Billing Determinants'!$B$19:$N$41,8,0)/'4. Billing Determinants'!$I$41*$D28, VLOOKUP(U$4,'4. Billing Determinants'!$B$19:$N$41,3,0)/'4. Billing Determinants'!$D$41*$D28))))),0)</f>
        <v>0</v>
      </c>
      <c r="V28" s="75">
        <f>IFERROR(IF(V$4="",0,IF($E28="kWh",VLOOKUP(V$4,'4. Billing Determinants'!$B$19:$N$41,4,0)/'4. Billing Determinants'!$E$41*$D28,IF($E28="kW",VLOOKUP(V$4,'4. Billing Determinants'!$B$19:$N$41,5,0)/'4. Billing Determinants'!$F$41*$D28,IF($E28="Non-RPP kWh",VLOOKUP(V$4,'4. Billing Determinants'!$B$19:$N$41,6,0)/'4. Billing Determinants'!$G$41*$D28,IF($E28="Distribution Rev.",VLOOKUP(V$4,'4. Billing Determinants'!$B$19:$N$41,8,0)/'4. Billing Determinants'!$I$41*$D28, VLOOKUP(V$4,'4. Billing Determinants'!$B$19:$N$41,3,0)/'4. Billing Determinants'!$D$41*$D28))))),0)</f>
        <v>0</v>
      </c>
      <c r="W28" s="75">
        <f>IFERROR(IF(W$4="",0,IF($E28="kWh",VLOOKUP(W$4,'4. Billing Determinants'!$B$19:$N$41,4,0)/'4. Billing Determinants'!$E$41*$D28,IF($E28="kW",VLOOKUP(W$4,'4. Billing Determinants'!$B$19:$N$41,5,0)/'4. Billing Determinants'!$F$41*$D28,IF($E28="Non-RPP kWh",VLOOKUP(W$4,'4. Billing Determinants'!$B$19:$N$41,6,0)/'4. Billing Determinants'!$G$41*$D28,IF($E28="Distribution Rev.",VLOOKUP(W$4,'4. Billing Determinants'!$B$19:$N$41,8,0)/'4. Billing Determinants'!$I$41*$D28, VLOOKUP(W$4,'4. Billing Determinants'!$B$19:$N$41,3,0)/'4. Billing Determinants'!$D$41*$D28))))),0)</f>
        <v>0</v>
      </c>
      <c r="X28" s="75">
        <f>IFERROR(IF(X$4="",0,IF($E28="kWh",VLOOKUP(X$4,'4. Billing Determinants'!$B$19:$N$41,4,0)/'4. Billing Determinants'!$E$41*$D28,IF($E28="kW",VLOOKUP(X$4,'4. Billing Determinants'!$B$19:$N$41,5,0)/'4. Billing Determinants'!$F$41*$D28,IF($E28="Non-RPP kWh",VLOOKUP(X$4,'4. Billing Determinants'!$B$19:$N$41,6,0)/'4. Billing Determinants'!$G$41*$D28,IF($E28="Distribution Rev.",VLOOKUP(X$4,'4. Billing Determinants'!$B$19:$N$41,8,0)/'4. Billing Determinants'!$I$41*$D28, VLOOKUP(X$4,'4. Billing Determinants'!$B$19:$N$41,3,0)/'4. Billing Determinants'!$D$41*$D28))))),0)</f>
        <v>0</v>
      </c>
      <c r="Y28" s="75">
        <f>IFERROR(IF(Y$4="",0,IF($E28="kWh",VLOOKUP(Y$4,'4. Billing Determinants'!$B$19:$N$41,4,0)/'4. Billing Determinants'!$E$41*$D28,IF($E28="kW",VLOOKUP(Y$4,'4. Billing Determinants'!$B$19:$N$41,5,0)/'4. Billing Determinants'!$F$41*$D28,IF($E28="Non-RPP kWh",VLOOKUP(Y$4,'4. Billing Determinants'!$B$19:$N$41,6,0)/'4. Billing Determinants'!$G$41*$D28,IF($E28="Distribution Rev.",VLOOKUP(Y$4,'4. Billing Determinants'!$B$19:$N$41,8,0)/'4. Billing Determinants'!$I$41*$D28, VLOOKUP(Y$4,'4. Billing Determinants'!$B$19:$N$41,3,0)/'4. Billing Determinants'!$D$41*$D28))))),0)</f>
        <v>0</v>
      </c>
    </row>
    <row r="29" spans="2:25" x14ac:dyDescent="0.2">
      <c r="B29" s="76" t="s">
        <v>41</v>
      </c>
      <c r="C29" s="74">
        <v>1533</v>
      </c>
      <c r="D29" s="75">
        <f>'2. 2013 Continuity Schedule'!CP52</f>
        <v>0</v>
      </c>
      <c r="E29" s="208"/>
      <c r="F29" s="75">
        <f>IFERROR(IF(F$4="",0,IF($E29="kWh",VLOOKUP(F$4,'4. Billing Determinants'!$B$19:$N$41,4,0)/'4. Billing Determinants'!$E$41*$D29,IF($E29="kW",VLOOKUP(F$4,'4. Billing Determinants'!$B$19:$N$41,5,0)/'4. Billing Determinants'!$F$41*$D29,IF($E29="Non-RPP kWh",VLOOKUP(F$4,'4. Billing Determinants'!$B$19:$N$41,6,0)/'4. Billing Determinants'!$G$41*$D29,IF($E29="Distribution Rev.",VLOOKUP(F$4,'4. Billing Determinants'!$B$19:$N$41,8,0)/'4. Billing Determinants'!$I$41*$D29, VLOOKUP(F$4,'4. Billing Determinants'!$B$19:$N$41,3,0)/'4. Billing Determinants'!$D$41*$D29))))),0)</f>
        <v>0</v>
      </c>
      <c r="G29" s="75">
        <f>IFERROR(IF(G$4="",0,IF($E29="kWh",VLOOKUP(G$4,'4. Billing Determinants'!$B$19:$N$41,4,0)/'4. Billing Determinants'!$E$41*$D29,IF($E29="kW",VLOOKUP(G$4,'4. Billing Determinants'!$B$19:$N$41,5,0)/'4. Billing Determinants'!$F$41*$D29,IF($E29="Non-RPP kWh",VLOOKUP(G$4,'4. Billing Determinants'!$B$19:$N$41,6,0)/'4. Billing Determinants'!$G$41*$D29,IF($E29="Distribution Rev.",VLOOKUP(G$4,'4. Billing Determinants'!$B$19:$N$41,8,0)/'4. Billing Determinants'!$I$41*$D29, VLOOKUP(G$4,'4. Billing Determinants'!$B$19:$N$41,3,0)/'4. Billing Determinants'!$D$41*$D29))))),0)</f>
        <v>0</v>
      </c>
      <c r="H29" s="75">
        <f>IFERROR(IF(H$4="",0,IF($E29="kWh",VLOOKUP(H$4,'4. Billing Determinants'!$B$19:$N$41,4,0)/'4. Billing Determinants'!$E$41*$D29,IF($E29="kW",VLOOKUP(H$4,'4. Billing Determinants'!$B$19:$N$41,5,0)/'4. Billing Determinants'!$F$41*$D29,IF($E29="Non-RPP kWh",VLOOKUP(H$4,'4. Billing Determinants'!$B$19:$N$41,6,0)/'4. Billing Determinants'!$G$41*$D29,IF($E29="Distribution Rev.",VLOOKUP(H$4,'4. Billing Determinants'!$B$19:$N$41,8,0)/'4. Billing Determinants'!$I$41*$D29, VLOOKUP(H$4,'4. Billing Determinants'!$B$19:$N$41,3,0)/'4. Billing Determinants'!$D$41*$D29))))),0)</f>
        <v>0</v>
      </c>
      <c r="I29" s="75">
        <f>IFERROR(IF(I$4="",0,IF($E29="kWh",VLOOKUP(I$4,'4. Billing Determinants'!$B$19:$N$41,4,0)/'4. Billing Determinants'!$E$41*$D29,IF($E29="kW",VLOOKUP(I$4,'4. Billing Determinants'!$B$19:$N$41,5,0)/'4. Billing Determinants'!$F$41*$D29,IF($E29="Non-RPP kWh",VLOOKUP(I$4,'4. Billing Determinants'!$B$19:$N$41,6,0)/'4. Billing Determinants'!$G$41*$D29,IF($E29="Distribution Rev.",VLOOKUP(I$4,'4. Billing Determinants'!$B$19:$N$41,8,0)/'4. Billing Determinants'!$I$41*$D29, VLOOKUP(I$4,'4. Billing Determinants'!$B$19:$N$41,3,0)/'4. Billing Determinants'!$D$41*$D29))))),0)</f>
        <v>0</v>
      </c>
      <c r="J29" s="75">
        <f>IFERROR(IF(J$4="",0,IF($E29="kWh",VLOOKUP(J$4,'4. Billing Determinants'!$B$19:$N$41,4,0)/'4. Billing Determinants'!$E$41*$D29,IF($E29="kW",VLOOKUP(J$4,'4. Billing Determinants'!$B$19:$N$41,5,0)/'4. Billing Determinants'!$F$41*$D29,IF($E29="Non-RPP kWh",VLOOKUP(J$4,'4. Billing Determinants'!$B$19:$N$41,6,0)/'4. Billing Determinants'!$G$41*$D29,IF($E29="Distribution Rev.",VLOOKUP(J$4,'4. Billing Determinants'!$B$19:$N$41,8,0)/'4. Billing Determinants'!$I$41*$D29, VLOOKUP(J$4,'4. Billing Determinants'!$B$19:$N$41,3,0)/'4. Billing Determinants'!$D$41*$D29))))),0)</f>
        <v>0</v>
      </c>
      <c r="K29" s="75">
        <f>IFERROR(IF(K$4="",0,IF($E29="kWh",VLOOKUP(K$4,'4. Billing Determinants'!$B$19:$N$41,4,0)/'4. Billing Determinants'!$E$41*$D29,IF($E29="kW",VLOOKUP(K$4,'4. Billing Determinants'!$B$19:$N$41,5,0)/'4. Billing Determinants'!$F$41*$D29,IF($E29="Non-RPP kWh",VLOOKUP(K$4,'4. Billing Determinants'!$B$19:$N$41,6,0)/'4. Billing Determinants'!$G$41*$D29,IF($E29="Distribution Rev.",VLOOKUP(K$4,'4. Billing Determinants'!$B$19:$N$41,8,0)/'4. Billing Determinants'!$I$41*$D29, VLOOKUP(K$4,'4. Billing Determinants'!$B$19:$N$41,3,0)/'4. Billing Determinants'!$D$41*$D29))))),0)</f>
        <v>0</v>
      </c>
      <c r="L29" s="75">
        <f>IFERROR(IF(L$4="",0,IF($E29="kWh",VLOOKUP(L$4,'4. Billing Determinants'!$B$19:$N$41,4,0)/'4. Billing Determinants'!$E$41*$D29,IF($E29="kW",VLOOKUP(L$4,'4. Billing Determinants'!$B$19:$N$41,5,0)/'4. Billing Determinants'!$F$41*$D29,IF($E29="Non-RPP kWh",VLOOKUP(L$4,'4. Billing Determinants'!$B$19:$N$41,6,0)/'4. Billing Determinants'!$G$41*$D29,IF($E29="Distribution Rev.",VLOOKUP(L$4,'4. Billing Determinants'!$B$19:$N$41,8,0)/'4. Billing Determinants'!$I$41*$D29, VLOOKUP(L$4,'4. Billing Determinants'!$B$19:$N$41,3,0)/'4. Billing Determinants'!$D$41*$D29))))),0)</f>
        <v>0</v>
      </c>
      <c r="M29" s="75">
        <f>IFERROR(IF(M$4="",0,IF($E29="kWh",VLOOKUP(M$4,'4. Billing Determinants'!$B$19:$N$41,4,0)/'4. Billing Determinants'!$E$41*$D29,IF($E29="kW",VLOOKUP(M$4,'4. Billing Determinants'!$B$19:$N$41,5,0)/'4. Billing Determinants'!$F$41*$D29,IF($E29="Non-RPP kWh",VLOOKUP(M$4,'4. Billing Determinants'!$B$19:$N$41,6,0)/'4. Billing Determinants'!$G$41*$D29,IF($E29="Distribution Rev.",VLOOKUP(M$4,'4. Billing Determinants'!$B$19:$N$41,8,0)/'4. Billing Determinants'!$I$41*$D29, VLOOKUP(M$4,'4. Billing Determinants'!$B$19:$N$41,3,0)/'4. Billing Determinants'!$D$41*$D29))))),0)</f>
        <v>0</v>
      </c>
      <c r="N29" s="75">
        <f>IFERROR(IF(N$4="",0,IF($E29="kWh",VLOOKUP(N$4,'4. Billing Determinants'!$B$19:$N$41,4,0)/'4. Billing Determinants'!$E$41*$D29,IF($E29="kW",VLOOKUP(N$4,'4. Billing Determinants'!$B$19:$N$41,5,0)/'4. Billing Determinants'!$F$41*$D29,IF($E29="Non-RPP kWh",VLOOKUP(N$4,'4. Billing Determinants'!$B$19:$N$41,6,0)/'4. Billing Determinants'!$G$41*$D29,IF($E29="Distribution Rev.",VLOOKUP(N$4,'4. Billing Determinants'!$B$19:$N$41,8,0)/'4. Billing Determinants'!$I$41*$D29, VLOOKUP(N$4,'4. Billing Determinants'!$B$19:$N$41,3,0)/'4. Billing Determinants'!$D$41*$D29))))),0)</f>
        <v>0</v>
      </c>
      <c r="O29" s="75">
        <f>IFERROR(IF(O$4="",0,IF($E29="kWh",VLOOKUP(O$4,'4. Billing Determinants'!$B$19:$N$41,4,0)/'4. Billing Determinants'!$E$41*$D29,IF($E29="kW",VLOOKUP(O$4,'4. Billing Determinants'!$B$19:$N$41,5,0)/'4. Billing Determinants'!$F$41*$D29,IF($E29="Non-RPP kWh",VLOOKUP(O$4,'4. Billing Determinants'!$B$19:$N$41,6,0)/'4. Billing Determinants'!$G$41*$D29,IF($E29="Distribution Rev.",VLOOKUP(O$4,'4. Billing Determinants'!$B$19:$N$41,8,0)/'4. Billing Determinants'!$I$41*$D29, VLOOKUP(O$4,'4. Billing Determinants'!$B$19:$N$41,3,0)/'4. Billing Determinants'!$D$41*$D29))))),0)</f>
        <v>0</v>
      </c>
      <c r="P29" s="75">
        <f>IFERROR(IF(P$4="",0,IF($E29="kWh",VLOOKUP(P$4,'4. Billing Determinants'!$B$19:$N$41,4,0)/'4. Billing Determinants'!$E$41*$D29,IF($E29="kW",VLOOKUP(P$4,'4. Billing Determinants'!$B$19:$N$41,5,0)/'4. Billing Determinants'!$F$41*$D29,IF($E29="Non-RPP kWh",VLOOKUP(P$4,'4. Billing Determinants'!$B$19:$N$41,6,0)/'4. Billing Determinants'!$G$41*$D29,IF($E29="Distribution Rev.",VLOOKUP(P$4,'4. Billing Determinants'!$B$19:$N$41,8,0)/'4. Billing Determinants'!$I$41*$D29, VLOOKUP(P$4,'4. Billing Determinants'!$B$19:$N$41,3,0)/'4. Billing Determinants'!$D$41*$D29))))),0)</f>
        <v>0</v>
      </c>
      <c r="Q29" s="75">
        <f>IFERROR(IF(Q$4="",0,IF($E29="kWh",VLOOKUP(Q$4,'4. Billing Determinants'!$B$19:$N$41,4,0)/'4. Billing Determinants'!$E$41*$D29,IF($E29="kW",VLOOKUP(Q$4,'4. Billing Determinants'!$B$19:$N$41,5,0)/'4. Billing Determinants'!$F$41*$D29,IF($E29="Non-RPP kWh",VLOOKUP(Q$4,'4. Billing Determinants'!$B$19:$N$41,6,0)/'4. Billing Determinants'!$G$41*$D29,IF($E29="Distribution Rev.",VLOOKUP(Q$4,'4. Billing Determinants'!$B$19:$N$41,8,0)/'4. Billing Determinants'!$I$41*$D29, VLOOKUP(Q$4,'4. Billing Determinants'!$B$19:$N$41,3,0)/'4. Billing Determinants'!$D$41*$D29))))),0)</f>
        <v>0</v>
      </c>
      <c r="R29" s="75">
        <f>IFERROR(IF(R$4="",0,IF($E29="kWh",VLOOKUP(R$4,'4. Billing Determinants'!$B$19:$N$41,4,0)/'4. Billing Determinants'!$E$41*$D29,IF($E29="kW",VLOOKUP(R$4,'4. Billing Determinants'!$B$19:$N$41,5,0)/'4. Billing Determinants'!$F$41*$D29,IF($E29="Non-RPP kWh",VLOOKUP(R$4,'4. Billing Determinants'!$B$19:$N$41,6,0)/'4. Billing Determinants'!$G$41*$D29,IF($E29="Distribution Rev.",VLOOKUP(R$4,'4. Billing Determinants'!$B$19:$N$41,8,0)/'4. Billing Determinants'!$I$41*$D29, VLOOKUP(R$4,'4. Billing Determinants'!$B$19:$N$41,3,0)/'4. Billing Determinants'!$D$41*$D29))))),0)</f>
        <v>0</v>
      </c>
      <c r="S29" s="75">
        <f>IFERROR(IF(S$4="",0,IF($E29="kWh",VLOOKUP(S$4,'4. Billing Determinants'!$B$19:$N$41,4,0)/'4. Billing Determinants'!$E$41*$D29,IF($E29="kW",VLOOKUP(S$4,'4. Billing Determinants'!$B$19:$N$41,5,0)/'4. Billing Determinants'!$F$41*$D29,IF($E29="Non-RPP kWh",VLOOKUP(S$4,'4. Billing Determinants'!$B$19:$N$41,6,0)/'4. Billing Determinants'!$G$41*$D29,IF($E29="Distribution Rev.",VLOOKUP(S$4,'4. Billing Determinants'!$B$19:$N$41,8,0)/'4. Billing Determinants'!$I$41*$D29, VLOOKUP(S$4,'4. Billing Determinants'!$B$19:$N$41,3,0)/'4. Billing Determinants'!$D$41*$D29))))),0)</f>
        <v>0</v>
      </c>
      <c r="T29" s="75">
        <f>IFERROR(IF(T$4="",0,IF($E29="kWh",VLOOKUP(T$4,'4. Billing Determinants'!$B$19:$N$41,4,0)/'4. Billing Determinants'!$E$41*$D29,IF($E29="kW",VLOOKUP(T$4,'4. Billing Determinants'!$B$19:$N$41,5,0)/'4. Billing Determinants'!$F$41*$D29,IF($E29="Non-RPP kWh",VLOOKUP(T$4,'4. Billing Determinants'!$B$19:$N$41,6,0)/'4. Billing Determinants'!$G$41*$D29,IF($E29="Distribution Rev.",VLOOKUP(T$4,'4. Billing Determinants'!$B$19:$N$41,8,0)/'4. Billing Determinants'!$I$41*$D29, VLOOKUP(T$4,'4. Billing Determinants'!$B$19:$N$41,3,0)/'4. Billing Determinants'!$D$41*$D29))))),0)</f>
        <v>0</v>
      </c>
      <c r="U29" s="75">
        <f>IFERROR(IF(U$4="",0,IF($E29="kWh",VLOOKUP(U$4,'4. Billing Determinants'!$B$19:$N$41,4,0)/'4. Billing Determinants'!$E$41*$D29,IF($E29="kW",VLOOKUP(U$4,'4. Billing Determinants'!$B$19:$N$41,5,0)/'4. Billing Determinants'!$F$41*$D29,IF($E29="Non-RPP kWh",VLOOKUP(U$4,'4. Billing Determinants'!$B$19:$N$41,6,0)/'4. Billing Determinants'!$G$41*$D29,IF($E29="Distribution Rev.",VLOOKUP(U$4,'4. Billing Determinants'!$B$19:$N$41,8,0)/'4. Billing Determinants'!$I$41*$D29, VLOOKUP(U$4,'4. Billing Determinants'!$B$19:$N$41,3,0)/'4. Billing Determinants'!$D$41*$D29))))),0)</f>
        <v>0</v>
      </c>
      <c r="V29" s="75">
        <f>IFERROR(IF(V$4="",0,IF($E29="kWh",VLOOKUP(V$4,'4. Billing Determinants'!$B$19:$N$41,4,0)/'4. Billing Determinants'!$E$41*$D29,IF($E29="kW",VLOOKUP(V$4,'4. Billing Determinants'!$B$19:$N$41,5,0)/'4. Billing Determinants'!$F$41*$D29,IF($E29="Non-RPP kWh",VLOOKUP(V$4,'4. Billing Determinants'!$B$19:$N$41,6,0)/'4. Billing Determinants'!$G$41*$D29,IF($E29="Distribution Rev.",VLOOKUP(V$4,'4. Billing Determinants'!$B$19:$N$41,8,0)/'4. Billing Determinants'!$I$41*$D29, VLOOKUP(V$4,'4. Billing Determinants'!$B$19:$N$41,3,0)/'4. Billing Determinants'!$D$41*$D29))))),0)</f>
        <v>0</v>
      </c>
      <c r="W29" s="75">
        <f>IFERROR(IF(W$4="",0,IF($E29="kWh",VLOOKUP(W$4,'4. Billing Determinants'!$B$19:$N$41,4,0)/'4. Billing Determinants'!$E$41*$D29,IF($E29="kW",VLOOKUP(W$4,'4. Billing Determinants'!$B$19:$N$41,5,0)/'4. Billing Determinants'!$F$41*$D29,IF($E29="Non-RPP kWh",VLOOKUP(W$4,'4. Billing Determinants'!$B$19:$N$41,6,0)/'4. Billing Determinants'!$G$41*$D29,IF($E29="Distribution Rev.",VLOOKUP(W$4,'4. Billing Determinants'!$B$19:$N$41,8,0)/'4. Billing Determinants'!$I$41*$D29, VLOOKUP(W$4,'4. Billing Determinants'!$B$19:$N$41,3,0)/'4. Billing Determinants'!$D$41*$D29))))),0)</f>
        <v>0</v>
      </c>
      <c r="X29" s="75">
        <f>IFERROR(IF(X$4="",0,IF($E29="kWh",VLOOKUP(X$4,'4. Billing Determinants'!$B$19:$N$41,4,0)/'4. Billing Determinants'!$E$41*$D29,IF($E29="kW",VLOOKUP(X$4,'4. Billing Determinants'!$B$19:$N$41,5,0)/'4. Billing Determinants'!$F$41*$D29,IF($E29="Non-RPP kWh",VLOOKUP(X$4,'4. Billing Determinants'!$B$19:$N$41,6,0)/'4. Billing Determinants'!$G$41*$D29,IF($E29="Distribution Rev.",VLOOKUP(X$4,'4. Billing Determinants'!$B$19:$N$41,8,0)/'4. Billing Determinants'!$I$41*$D29, VLOOKUP(X$4,'4. Billing Determinants'!$B$19:$N$41,3,0)/'4. Billing Determinants'!$D$41*$D29))))),0)</f>
        <v>0</v>
      </c>
      <c r="Y29" s="75">
        <f>IFERROR(IF(Y$4="",0,IF($E29="kWh",VLOOKUP(Y$4,'4. Billing Determinants'!$B$19:$N$41,4,0)/'4. Billing Determinants'!$E$41*$D29,IF($E29="kW",VLOOKUP(Y$4,'4. Billing Determinants'!$B$19:$N$41,5,0)/'4. Billing Determinants'!$F$41*$D29,IF($E29="Non-RPP kWh",VLOOKUP(Y$4,'4. Billing Determinants'!$B$19:$N$41,6,0)/'4. Billing Determinants'!$G$41*$D29,IF($E29="Distribution Rev.",VLOOKUP(Y$4,'4. Billing Determinants'!$B$19:$N$41,8,0)/'4. Billing Determinants'!$I$41*$D29, VLOOKUP(Y$4,'4. Billing Determinants'!$B$19:$N$41,3,0)/'4. Billing Determinants'!$D$41*$D29))))),0)</f>
        <v>0</v>
      </c>
    </row>
    <row r="30" spans="2:25" x14ac:dyDescent="0.2">
      <c r="B30" s="73" t="s">
        <v>32</v>
      </c>
      <c r="C30" s="74">
        <v>1534</v>
      </c>
      <c r="D30" s="75">
        <f>'2. 2013 Continuity Schedule'!CP53</f>
        <v>0</v>
      </c>
      <c r="E30" s="208"/>
      <c r="F30" s="75">
        <f>IFERROR(IF(F$4="",0,IF($E30="kWh",VLOOKUP(F$4,'4. Billing Determinants'!$B$19:$N$41,4,0)/'4. Billing Determinants'!$E$41*$D30,IF($E30="kW",VLOOKUP(F$4,'4. Billing Determinants'!$B$19:$N$41,5,0)/'4. Billing Determinants'!$F$41*$D30,IF($E30="Non-RPP kWh",VLOOKUP(F$4,'4. Billing Determinants'!$B$19:$N$41,6,0)/'4. Billing Determinants'!$G$41*$D30,IF($E30="Distribution Rev.",VLOOKUP(F$4,'4. Billing Determinants'!$B$19:$N$41,8,0)/'4. Billing Determinants'!$I$41*$D30, VLOOKUP(F$4,'4. Billing Determinants'!$B$19:$N$41,3,0)/'4. Billing Determinants'!$D$41*$D30))))),0)</f>
        <v>0</v>
      </c>
      <c r="G30" s="75">
        <f>IFERROR(IF(G$4="",0,IF($E30="kWh",VLOOKUP(G$4,'4. Billing Determinants'!$B$19:$N$41,4,0)/'4. Billing Determinants'!$E$41*$D30,IF($E30="kW",VLOOKUP(G$4,'4. Billing Determinants'!$B$19:$N$41,5,0)/'4. Billing Determinants'!$F$41*$D30,IF($E30="Non-RPP kWh",VLOOKUP(G$4,'4. Billing Determinants'!$B$19:$N$41,6,0)/'4. Billing Determinants'!$G$41*$D30,IF($E30="Distribution Rev.",VLOOKUP(G$4,'4. Billing Determinants'!$B$19:$N$41,8,0)/'4. Billing Determinants'!$I$41*$D30, VLOOKUP(G$4,'4. Billing Determinants'!$B$19:$N$41,3,0)/'4. Billing Determinants'!$D$41*$D30))))),0)</f>
        <v>0</v>
      </c>
      <c r="H30" s="75">
        <f>IFERROR(IF(H$4="",0,IF($E30="kWh",VLOOKUP(H$4,'4. Billing Determinants'!$B$19:$N$41,4,0)/'4. Billing Determinants'!$E$41*$D30,IF($E30="kW",VLOOKUP(H$4,'4. Billing Determinants'!$B$19:$N$41,5,0)/'4. Billing Determinants'!$F$41*$D30,IF($E30="Non-RPP kWh",VLOOKUP(H$4,'4. Billing Determinants'!$B$19:$N$41,6,0)/'4. Billing Determinants'!$G$41*$D30,IF($E30="Distribution Rev.",VLOOKUP(H$4,'4. Billing Determinants'!$B$19:$N$41,8,0)/'4. Billing Determinants'!$I$41*$D30, VLOOKUP(H$4,'4. Billing Determinants'!$B$19:$N$41,3,0)/'4. Billing Determinants'!$D$41*$D30))))),0)</f>
        <v>0</v>
      </c>
      <c r="I30" s="75">
        <f>IFERROR(IF(I$4="",0,IF($E30="kWh",VLOOKUP(I$4,'4. Billing Determinants'!$B$19:$N$41,4,0)/'4. Billing Determinants'!$E$41*$D30,IF($E30="kW",VLOOKUP(I$4,'4. Billing Determinants'!$B$19:$N$41,5,0)/'4. Billing Determinants'!$F$41*$D30,IF($E30="Non-RPP kWh",VLOOKUP(I$4,'4. Billing Determinants'!$B$19:$N$41,6,0)/'4. Billing Determinants'!$G$41*$D30,IF($E30="Distribution Rev.",VLOOKUP(I$4,'4. Billing Determinants'!$B$19:$N$41,8,0)/'4. Billing Determinants'!$I$41*$D30, VLOOKUP(I$4,'4. Billing Determinants'!$B$19:$N$41,3,0)/'4. Billing Determinants'!$D$41*$D30))))),0)</f>
        <v>0</v>
      </c>
      <c r="J30" s="75">
        <f>IFERROR(IF(J$4="",0,IF($E30="kWh",VLOOKUP(J$4,'4. Billing Determinants'!$B$19:$N$41,4,0)/'4. Billing Determinants'!$E$41*$D30,IF($E30="kW",VLOOKUP(J$4,'4. Billing Determinants'!$B$19:$N$41,5,0)/'4. Billing Determinants'!$F$41*$D30,IF($E30="Non-RPP kWh",VLOOKUP(J$4,'4. Billing Determinants'!$B$19:$N$41,6,0)/'4. Billing Determinants'!$G$41*$D30,IF($E30="Distribution Rev.",VLOOKUP(J$4,'4. Billing Determinants'!$B$19:$N$41,8,0)/'4. Billing Determinants'!$I$41*$D30, VLOOKUP(J$4,'4. Billing Determinants'!$B$19:$N$41,3,0)/'4. Billing Determinants'!$D$41*$D30))))),0)</f>
        <v>0</v>
      </c>
      <c r="K30" s="75">
        <f>IFERROR(IF(K$4="",0,IF($E30="kWh",VLOOKUP(K$4,'4. Billing Determinants'!$B$19:$N$41,4,0)/'4. Billing Determinants'!$E$41*$D30,IF($E30="kW",VLOOKUP(K$4,'4. Billing Determinants'!$B$19:$N$41,5,0)/'4. Billing Determinants'!$F$41*$D30,IF($E30="Non-RPP kWh",VLOOKUP(K$4,'4. Billing Determinants'!$B$19:$N$41,6,0)/'4. Billing Determinants'!$G$41*$D30,IF($E30="Distribution Rev.",VLOOKUP(K$4,'4. Billing Determinants'!$B$19:$N$41,8,0)/'4. Billing Determinants'!$I$41*$D30, VLOOKUP(K$4,'4. Billing Determinants'!$B$19:$N$41,3,0)/'4. Billing Determinants'!$D$41*$D30))))),0)</f>
        <v>0</v>
      </c>
      <c r="L30" s="75">
        <f>IFERROR(IF(L$4="",0,IF($E30="kWh",VLOOKUP(L$4,'4. Billing Determinants'!$B$19:$N$41,4,0)/'4. Billing Determinants'!$E$41*$D30,IF($E30="kW",VLOOKUP(L$4,'4. Billing Determinants'!$B$19:$N$41,5,0)/'4. Billing Determinants'!$F$41*$D30,IF($E30="Non-RPP kWh",VLOOKUP(L$4,'4. Billing Determinants'!$B$19:$N$41,6,0)/'4. Billing Determinants'!$G$41*$D30,IF($E30="Distribution Rev.",VLOOKUP(L$4,'4. Billing Determinants'!$B$19:$N$41,8,0)/'4. Billing Determinants'!$I$41*$D30, VLOOKUP(L$4,'4. Billing Determinants'!$B$19:$N$41,3,0)/'4. Billing Determinants'!$D$41*$D30))))),0)</f>
        <v>0</v>
      </c>
      <c r="M30" s="75">
        <f>IFERROR(IF(M$4="",0,IF($E30="kWh",VLOOKUP(M$4,'4. Billing Determinants'!$B$19:$N$41,4,0)/'4. Billing Determinants'!$E$41*$D30,IF($E30="kW",VLOOKUP(M$4,'4. Billing Determinants'!$B$19:$N$41,5,0)/'4. Billing Determinants'!$F$41*$D30,IF($E30="Non-RPP kWh",VLOOKUP(M$4,'4. Billing Determinants'!$B$19:$N$41,6,0)/'4. Billing Determinants'!$G$41*$D30,IF($E30="Distribution Rev.",VLOOKUP(M$4,'4. Billing Determinants'!$B$19:$N$41,8,0)/'4. Billing Determinants'!$I$41*$D30, VLOOKUP(M$4,'4. Billing Determinants'!$B$19:$N$41,3,0)/'4. Billing Determinants'!$D$41*$D30))))),0)</f>
        <v>0</v>
      </c>
      <c r="N30" s="75">
        <f>IFERROR(IF(N$4="",0,IF($E30="kWh",VLOOKUP(N$4,'4. Billing Determinants'!$B$19:$N$41,4,0)/'4. Billing Determinants'!$E$41*$D30,IF($E30="kW",VLOOKUP(N$4,'4. Billing Determinants'!$B$19:$N$41,5,0)/'4. Billing Determinants'!$F$41*$D30,IF($E30="Non-RPP kWh",VLOOKUP(N$4,'4. Billing Determinants'!$B$19:$N$41,6,0)/'4. Billing Determinants'!$G$41*$D30,IF($E30="Distribution Rev.",VLOOKUP(N$4,'4. Billing Determinants'!$B$19:$N$41,8,0)/'4. Billing Determinants'!$I$41*$D30, VLOOKUP(N$4,'4. Billing Determinants'!$B$19:$N$41,3,0)/'4. Billing Determinants'!$D$41*$D30))))),0)</f>
        <v>0</v>
      </c>
      <c r="O30" s="75">
        <f>IFERROR(IF(O$4="",0,IF($E30="kWh",VLOOKUP(O$4,'4. Billing Determinants'!$B$19:$N$41,4,0)/'4. Billing Determinants'!$E$41*$D30,IF($E30="kW",VLOOKUP(O$4,'4. Billing Determinants'!$B$19:$N$41,5,0)/'4. Billing Determinants'!$F$41*$D30,IF($E30="Non-RPP kWh",VLOOKUP(O$4,'4. Billing Determinants'!$B$19:$N$41,6,0)/'4. Billing Determinants'!$G$41*$D30,IF($E30="Distribution Rev.",VLOOKUP(O$4,'4. Billing Determinants'!$B$19:$N$41,8,0)/'4. Billing Determinants'!$I$41*$D30, VLOOKUP(O$4,'4. Billing Determinants'!$B$19:$N$41,3,0)/'4. Billing Determinants'!$D$41*$D30))))),0)</f>
        <v>0</v>
      </c>
      <c r="P30" s="75">
        <f>IFERROR(IF(P$4="",0,IF($E30="kWh",VLOOKUP(P$4,'4. Billing Determinants'!$B$19:$N$41,4,0)/'4. Billing Determinants'!$E$41*$D30,IF($E30="kW",VLOOKUP(P$4,'4. Billing Determinants'!$B$19:$N$41,5,0)/'4. Billing Determinants'!$F$41*$D30,IF($E30="Non-RPP kWh",VLOOKUP(P$4,'4. Billing Determinants'!$B$19:$N$41,6,0)/'4. Billing Determinants'!$G$41*$D30,IF($E30="Distribution Rev.",VLOOKUP(P$4,'4. Billing Determinants'!$B$19:$N$41,8,0)/'4. Billing Determinants'!$I$41*$D30, VLOOKUP(P$4,'4. Billing Determinants'!$B$19:$N$41,3,0)/'4. Billing Determinants'!$D$41*$D30))))),0)</f>
        <v>0</v>
      </c>
      <c r="Q30" s="75">
        <f>IFERROR(IF(Q$4="",0,IF($E30="kWh",VLOOKUP(Q$4,'4. Billing Determinants'!$B$19:$N$41,4,0)/'4. Billing Determinants'!$E$41*$D30,IF($E30="kW",VLOOKUP(Q$4,'4. Billing Determinants'!$B$19:$N$41,5,0)/'4. Billing Determinants'!$F$41*$D30,IF($E30="Non-RPP kWh",VLOOKUP(Q$4,'4. Billing Determinants'!$B$19:$N$41,6,0)/'4. Billing Determinants'!$G$41*$D30,IF($E30="Distribution Rev.",VLOOKUP(Q$4,'4. Billing Determinants'!$B$19:$N$41,8,0)/'4. Billing Determinants'!$I$41*$D30, VLOOKUP(Q$4,'4. Billing Determinants'!$B$19:$N$41,3,0)/'4. Billing Determinants'!$D$41*$D30))))),0)</f>
        <v>0</v>
      </c>
      <c r="R30" s="75">
        <f>IFERROR(IF(R$4="",0,IF($E30="kWh",VLOOKUP(R$4,'4. Billing Determinants'!$B$19:$N$41,4,0)/'4. Billing Determinants'!$E$41*$D30,IF($E30="kW",VLOOKUP(R$4,'4. Billing Determinants'!$B$19:$N$41,5,0)/'4. Billing Determinants'!$F$41*$D30,IF($E30="Non-RPP kWh",VLOOKUP(R$4,'4. Billing Determinants'!$B$19:$N$41,6,0)/'4. Billing Determinants'!$G$41*$D30,IF($E30="Distribution Rev.",VLOOKUP(R$4,'4. Billing Determinants'!$B$19:$N$41,8,0)/'4. Billing Determinants'!$I$41*$D30, VLOOKUP(R$4,'4. Billing Determinants'!$B$19:$N$41,3,0)/'4. Billing Determinants'!$D$41*$D30))))),0)</f>
        <v>0</v>
      </c>
      <c r="S30" s="75">
        <f>IFERROR(IF(S$4="",0,IF($E30="kWh",VLOOKUP(S$4,'4. Billing Determinants'!$B$19:$N$41,4,0)/'4. Billing Determinants'!$E$41*$D30,IF($E30="kW",VLOOKUP(S$4,'4. Billing Determinants'!$B$19:$N$41,5,0)/'4. Billing Determinants'!$F$41*$D30,IF($E30="Non-RPP kWh",VLOOKUP(S$4,'4. Billing Determinants'!$B$19:$N$41,6,0)/'4. Billing Determinants'!$G$41*$D30,IF($E30="Distribution Rev.",VLOOKUP(S$4,'4. Billing Determinants'!$B$19:$N$41,8,0)/'4. Billing Determinants'!$I$41*$D30, VLOOKUP(S$4,'4. Billing Determinants'!$B$19:$N$41,3,0)/'4. Billing Determinants'!$D$41*$D30))))),0)</f>
        <v>0</v>
      </c>
      <c r="T30" s="75">
        <f>IFERROR(IF(T$4="",0,IF($E30="kWh",VLOOKUP(T$4,'4. Billing Determinants'!$B$19:$N$41,4,0)/'4. Billing Determinants'!$E$41*$D30,IF($E30="kW",VLOOKUP(T$4,'4. Billing Determinants'!$B$19:$N$41,5,0)/'4. Billing Determinants'!$F$41*$D30,IF($E30="Non-RPP kWh",VLOOKUP(T$4,'4. Billing Determinants'!$B$19:$N$41,6,0)/'4. Billing Determinants'!$G$41*$D30,IF($E30="Distribution Rev.",VLOOKUP(T$4,'4. Billing Determinants'!$B$19:$N$41,8,0)/'4. Billing Determinants'!$I$41*$D30, VLOOKUP(T$4,'4. Billing Determinants'!$B$19:$N$41,3,0)/'4. Billing Determinants'!$D$41*$D30))))),0)</f>
        <v>0</v>
      </c>
      <c r="U30" s="75">
        <f>IFERROR(IF(U$4="",0,IF($E30="kWh",VLOOKUP(U$4,'4. Billing Determinants'!$B$19:$N$41,4,0)/'4. Billing Determinants'!$E$41*$D30,IF($E30="kW",VLOOKUP(U$4,'4. Billing Determinants'!$B$19:$N$41,5,0)/'4. Billing Determinants'!$F$41*$D30,IF($E30="Non-RPP kWh",VLOOKUP(U$4,'4. Billing Determinants'!$B$19:$N$41,6,0)/'4. Billing Determinants'!$G$41*$D30,IF($E30="Distribution Rev.",VLOOKUP(U$4,'4. Billing Determinants'!$B$19:$N$41,8,0)/'4. Billing Determinants'!$I$41*$D30, VLOOKUP(U$4,'4. Billing Determinants'!$B$19:$N$41,3,0)/'4. Billing Determinants'!$D$41*$D30))))),0)</f>
        <v>0</v>
      </c>
      <c r="V30" s="75">
        <f>IFERROR(IF(V$4="",0,IF($E30="kWh",VLOOKUP(V$4,'4. Billing Determinants'!$B$19:$N$41,4,0)/'4. Billing Determinants'!$E$41*$D30,IF($E30="kW",VLOOKUP(V$4,'4. Billing Determinants'!$B$19:$N$41,5,0)/'4. Billing Determinants'!$F$41*$D30,IF($E30="Non-RPP kWh",VLOOKUP(V$4,'4. Billing Determinants'!$B$19:$N$41,6,0)/'4. Billing Determinants'!$G$41*$D30,IF($E30="Distribution Rev.",VLOOKUP(V$4,'4. Billing Determinants'!$B$19:$N$41,8,0)/'4. Billing Determinants'!$I$41*$D30, VLOOKUP(V$4,'4. Billing Determinants'!$B$19:$N$41,3,0)/'4. Billing Determinants'!$D$41*$D30))))),0)</f>
        <v>0</v>
      </c>
      <c r="W30" s="75">
        <f>IFERROR(IF(W$4="",0,IF($E30="kWh",VLOOKUP(W$4,'4. Billing Determinants'!$B$19:$N$41,4,0)/'4. Billing Determinants'!$E$41*$D30,IF($E30="kW",VLOOKUP(W$4,'4. Billing Determinants'!$B$19:$N$41,5,0)/'4. Billing Determinants'!$F$41*$D30,IF($E30="Non-RPP kWh",VLOOKUP(W$4,'4. Billing Determinants'!$B$19:$N$41,6,0)/'4. Billing Determinants'!$G$41*$D30,IF($E30="Distribution Rev.",VLOOKUP(W$4,'4. Billing Determinants'!$B$19:$N$41,8,0)/'4. Billing Determinants'!$I$41*$D30, VLOOKUP(W$4,'4. Billing Determinants'!$B$19:$N$41,3,0)/'4. Billing Determinants'!$D$41*$D30))))),0)</f>
        <v>0</v>
      </c>
      <c r="X30" s="75">
        <f>IFERROR(IF(X$4="",0,IF($E30="kWh",VLOOKUP(X$4,'4. Billing Determinants'!$B$19:$N$41,4,0)/'4. Billing Determinants'!$E$41*$D30,IF($E30="kW",VLOOKUP(X$4,'4. Billing Determinants'!$B$19:$N$41,5,0)/'4. Billing Determinants'!$F$41*$D30,IF($E30="Non-RPP kWh",VLOOKUP(X$4,'4. Billing Determinants'!$B$19:$N$41,6,0)/'4. Billing Determinants'!$G$41*$D30,IF($E30="Distribution Rev.",VLOOKUP(X$4,'4. Billing Determinants'!$B$19:$N$41,8,0)/'4. Billing Determinants'!$I$41*$D30, VLOOKUP(X$4,'4. Billing Determinants'!$B$19:$N$41,3,0)/'4. Billing Determinants'!$D$41*$D30))))),0)</f>
        <v>0</v>
      </c>
      <c r="Y30" s="75">
        <f>IFERROR(IF(Y$4="",0,IF($E30="kWh",VLOOKUP(Y$4,'4. Billing Determinants'!$B$19:$N$41,4,0)/'4. Billing Determinants'!$E$41*$D30,IF($E30="kW",VLOOKUP(Y$4,'4. Billing Determinants'!$B$19:$N$41,5,0)/'4. Billing Determinants'!$F$41*$D30,IF($E30="Non-RPP kWh",VLOOKUP(Y$4,'4. Billing Determinants'!$B$19:$N$41,6,0)/'4. Billing Determinants'!$G$41*$D30,IF($E30="Distribution Rev.",VLOOKUP(Y$4,'4. Billing Determinants'!$B$19:$N$41,8,0)/'4. Billing Determinants'!$I$41*$D30, VLOOKUP(Y$4,'4. Billing Determinants'!$B$19:$N$41,3,0)/'4. Billing Determinants'!$D$41*$D30))))),0)</f>
        <v>0</v>
      </c>
    </row>
    <row r="31" spans="2:25" x14ac:dyDescent="0.2">
      <c r="B31" s="73" t="s">
        <v>33</v>
      </c>
      <c r="C31" s="74">
        <v>1535</v>
      </c>
      <c r="D31" s="75">
        <f>'2. 2013 Continuity Schedule'!CP54</f>
        <v>0</v>
      </c>
      <c r="E31" s="208"/>
      <c r="F31" s="75">
        <f>IFERROR(IF(F$4="",0,IF($E31="kWh",VLOOKUP(F$4,'4. Billing Determinants'!$B$19:$N$41,4,0)/'4. Billing Determinants'!$E$41*$D31,IF($E31="kW",VLOOKUP(F$4,'4. Billing Determinants'!$B$19:$N$41,5,0)/'4. Billing Determinants'!$F$41*$D31,IF($E31="Non-RPP kWh",VLOOKUP(F$4,'4. Billing Determinants'!$B$19:$N$41,6,0)/'4. Billing Determinants'!$G$41*$D31,IF($E31="Distribution Rev.",VLOOKUP(F$4,'4. Billing Determinants'!$B$19:$N$41,8,0)/'4. Billing Determinants'!$I$41*$D31, VLOOKUP(F$4,'4. Billing Determinants'!$B$19:$N$41,3,0)/'4. Billing Determinants'!$D$41*$D31))))),0)</f>
        <v>0</v>
      </c>
      <c r="G31" s="75">
        <f>IFERROR(IF(G$4="",0,IF($E31="kWh",VLOOKUP(G$4,'4. Billing Determinants'!$B$19:$N$41,4,0)/'4. Billing Determinants'!$E$41*$D31,IF($E31="kW",VLOOKUP(G$4,'4. Billing Determinants'!$B$19:$N$41,5,0)/'4. Billing Determinants'!$F$41*$D31,IF($E31="Non-RPP kWh",VLOOKUP(G$4,'4. Billing Determinants'!$B$19:$N$41,6,0)/'4. Billing Determinants'!$G$41*$D31,IF($E31="Distribution Rev.",VLOOKUP(G$4,'4. Billing Determinants'!$B$19:$N$41,8,0)/'4. Billing Determinants'!$I$41*$D31, VLOOKUP(G$4,'4. Billing Determinants'!$B$19:$N$41,3,0)/'4. Billing Determinants'!$D$41*$D31))))),0)</f>
        <v>0</v>
      </c>
      <c r="H31" s="75">
        <f>IFERROR(IF(H$4="",0,IF($E31="kWh",VLOOKUP(H$4,'4. Billing Determinants'!$B$19:$N$41,4,0)/'4. Billing Determinants'!$E$41*$D31,IF($E31="kW",VLOOKUP(H$4,'4. Billing Determinants'!$B$19:$N$41,5,0)/'4. Billing Determinants'!$F$41*$D31,IF($E31="Non-RPP kWh",VLOOKUP(H$4,'4. Billing Determinants'!$B$19:$N$41,6,0)/'4. Billing Determinants'!$G$41*$D31,IF($E31="Distribution Rev.",VLOOKUP(H$4,'4. Billing Determinants'!$B$19:$N$41,8,0)/'4. Billing Determinants'!$I$41*$D31, VLOOKUP(H$4,'4. Billing Determinants'!$B$19:$N$41,3,0)/'4. Billing Determinants'!$D$41*$D31))))),0)</f>
        <v>0</v>
      </c>
      <c r="I31" s="75">
        <f>IFERROR(IF(I$4="",0,IF($E31="kWh",VLOOKUP(I$4,'4. Billing Determinants'!$B$19:$N$41,4,0)/'4. Billing Determinants'!$E$41*$D31,IF($E31="kW",VLOOKUP(I$4,'4. Billing Determinants'!$B$19:$N$41,5,0)/'4. Billing Determinants'!$F$41*$D31,IF($E31="Non-RPP kWh",VLOOKUP(I$4,'4. Billing Determinants'!$B$19:$N$41,6,0)/'4. Billing Determinants'!$G$41*$D31,IF($E31="Distribution Rev.",VLOOKUP(I$4,'4. Billing Determinants'!$B$19:$N$41,8,0)/'4. Billing Determinants'!$I$41*$D31, VLOOKUP(I$4,'4. Billing Determinants'!$B$19:$N$41,3,0)/'4. Billing Determinants'!$D$41*$D31))))),0)</f>
        <v>0</v>
      </c>
      <c r="J31" s="75">
        <f>IFERROR(IF(J$4="",0,IF($E31="kWh",VLOOKUP(J$4,'4. Billing Determinants'!$B$19:$N$41,4,0)/'4. Billing Determinants'!$E$41*$D31,IF($E31="kW",VLOOKUP(J$4,'4. Billing Determinants'!$B$19:$N$41,5,0)/'4. Billing Determinants'!$F$41*$D31,IF($E31="Non-RPP kWh",VLOOKUP(J$4,'4. Billing Determinants'!$B$19:$N$41,6,0)/'4. Billing Determinants'!$G$41*$D31,IF($E31="Distribution Rev.",VLOOKUP(J$4,'4. Billing Determinants'!$B$19:$N$41,8,0)/'4. Billing Determinants'!$I$41*$D31, VLOOKUP(J$4,'4. Billing Determinants'!$B$19:$N$41,3,0)/'4. Billing Determinants'!$D$41*$D31))))),0)</f>
        <v>0</v>
      </c>
      <c r="K31" s="75">
        <f>IFERROR(IF(K$4="",0,IF($E31="kWh",VLOOKUP(K$4,'4. Billing Determinants'!$B$19:$N$41,4,0)/'4. Billing Determinants'!$E$41*$D31,IF($E31="kW",VLOOKUP(K$4,'4. Billing Determinants'!$B$19:$N$41,5,0)/'4. Billing Determinants'!$F$41*$D31,IF($E31="Non-RPP kWh",VLOOKUP(K$4,'4. Billing Determinants'!$B$19:$N$41,6,0)/'4. Billing Determinants'!$G$41*$D31,IF($E31="Distribution Rev.",VLOOKUP(K$4,'4. Billing Determinants'!$B$19:$N$41,8,0)/'4. Billing Determinants'!$I$41*$D31, VLOOKUP(K$4,'4. Billing Determinants'!$B$19:$N$41,3,0)/'4. Billing Determinants'!$D$41*$D31))))),0)</f>
        <v>0</v>
      </c>
      <c r="L31" s="75">
        <f>IFERROR(IF(L$4="",0,IF($E31="kWh",VLOOKUP(L$4,'4. Billing Determinants'!$B$19:$N$41,4,0)/'4. Billing Determinants'!$E$41*$D31,IF($E31="kW",VLOOKUP(L$4,'4. Billing Determinants'!$B$19:$N$41,5,0)/'4. Billing Determinants'!$F$41*$D31,IF($E31="Non-RPP kWh",VLOOKUP(L$4,'4. Billing Determinants'!$B$19:$N$41,6,0)/'4. Billing Determinants'!$G$41*$D31,IF($E31="Distribution Rev.",VLOOKUP(L$4,'4. Billing Determinants'!$B$19:$N$41,8,0)/'4. Billing Determinants'!$I$41*$D31, VLOOKUP(L$4,'4. Billing Determinants'!$B$19:$N$41,3,0)/'4. Billing Determinants'!$D$41*$D31))))),0)</f>
        <v>0</v>
      </c>
      <c r="M31" s="75">
        <f>IFERROR(IF(M$4="",0,IF($E31="kWh",VLOOKUP(M$4,'4. Billing Determinants'!$B$19:$N$41,4,0)/'4. Billing Determinants'!$E$41*$D31,IF($E31="kW",VLOOKUP(M$4,'4. Billing Determinants'!$B$19:$N$41,5,0)/'4. Billing Determinants'!$F$41*$D31,IF($E31="Non-RPP kWh",VLOOKUP(M$4,'4. Billing Determinants'!$B$19:$N$41,6,0)/'4. Billing Determinants'!$G$41*$D31,IF($E31="Distribution Rev.",VLOOKUP(M$4,'4. Billing Determinants'!$B$19:$N$41,8,0)/'4. Billing Determinants'!$I$41*$D31, VLOOKUP(M$4,'4. Billing Determinants'!$B$19:$N$41,3,0)/'4. Billing Determinants'!$D$41*$D31))))),0)</f>
        <v>0</v>
      </c>
      <c r="N31" s="75">
        <f>IFERROR(IF(N$4="",0,IF($E31="kWh",VLOOKUP(N$4,'4. Billing Determinants'!$B$19:$N$41,4,0)/'4. Billing Determinants'!$E$41*$D31,IF($E31="kW",VLOOKUP(N$4,'4. Billing Determinants'!$B$19:$N$41,5,0)/'4. Billing Determinants'!$F$41*$D31,IF($E31="Non-RPP kWh",VLOOKUP(N$4,'4. Billing Determinants'!$B$19:$N$41,6,0)/'4. Billing Determinants'!$G$41*$D31,IF($E31="Distribution Rev.",VLOOKUP(N$4,'4. Billing Determinants'!$B$19:$N$41,8,0)/'4. Billing Determinants'!$I$41*$D31, VLOOKUP(N$4,'4. Billing Determinants'!$B$19:$N$41,3,0)/'4. Billing Determinants'!$D$41*$D31))))),0)</f>
        <v>0</v>
      </c>
      <c r="O31" s="75">
        <f>IFERROR(IF(O$4="",0,IF($E31="kWh",VLOOKUP(O$4,'4. Billing Determinants'!$B$19:$N$41,4,0)/'4. Billing Determinants'!$E$41*$D31,IF($E31="kW",VLOOKUP(O$4,'4. Billing Determinants'!$B$19:$N$41,5,0)/'4. Billing Determinants'!$F$41*$D31,IF($E31="Non-RPP kWh",VLOOKUP(O$4,'4. Billing Determinants'!$B$19:$N$41,6,0)/'4. Billing Determinants'!$G$41*$D31,IF($E31="Distribution Rev.",VLOOKUP(O$4,'4. Billing Determinants'!$B$19:$N$41,8,0)/'4. Billing Determinants'!$I$41*$D31, VLOOKUP(O$4,'4. Billing Determinants'!$B$19:$N$41,3,0)/'4. Billing Determinants'!$D$41*$D31))))),0)</f>
        <v>0</v>
      </c>
      <c r="P31" s="75">
        <f>IFERROR(IF(P$4="",0,IF($E31="kWh",VLOOKUP(P$4,'4. Billing Determinants'!$B$19:$N$41,4,0)/'4. Billing Determinants'!$E$41*$D31,IF($E31="kW",VLOOKUP(P$4,'4. Billing Determinants'!$B$19:$N$41,5,0)/'4. Billing Determinants'!$F$41*$D31,IF($E31="Non-RPP kWh",VLOOKUP(P$4,'4. Billing Determinants'!$B$19:$N$41,6,0)/'4. Billing Determinants'!$G$41*$D31,IF($E31="Distribution Rev.",VLOOKUP(P$4,'4. Billing Determinants'!$B$19:$N$41,8,0)/'4. Billing Determinants'!$I$41*$D31, VLOOKUP(P$4,'4. Billing Determinants'!$B$19:$N$41,3,0)/'4. Billing Determinants'!$D$41*$D31))))),0)</f>
        <v>0</v>
      </c>
      <c r="Q31" s="75">
        <f>IFERROR(IF(Q$4="",0,IF($E31="kWh",VLOOKUP(Q$4,'4. Billing Determinants'!$B$19:$N$41,4,0)/'4. Billing Determinants'!$E$41*$D31,IF($E31="kW",VLOOKUP(Q$4,'4. Billing Determinants'!$B$19:$N$41,5,0)/'4. Billing Determinants'!$F$41*$D31,IF($E31="Non-RPP kWh",VLOOKUP(Q$4,'4. Billing Determinants'!$B$19:$N$41,6,0)/'4. Billing Determinants'!$G$41*$D31,IF($E31="Distribution Rev.",VLOOKUP(Q$4,'4. Billing Determinants'!$B$19:$N$41,8,0)/'4. Billing Determinants'!$I$41*$D31, VLOOKUP(Q$4,'4. Billing Determinants'!$B$19:$N$41,3,0)/'4. Billing Determinants'!$D$41*$D31))))),0)</f>
        <v>0</v>
      </c>
      <c r="R31" s="75">
        <f>IFERROR(IF(R$4="",0,IF($E31="kWh",VLOOKUP(R$4,'4. Billing Determinants'!$B$19:$N$41,4,0)/'4. Billing Determinants'!$E$41*$D31,IF($E31="kW",VLOOKUP(R$4,'4. Billing Determinants'!$B$19:$N$41,5,0)/'4. Billing Determinants'!$F$41*$D31,IF($E31="Non-RPP kWh",VLOOKUP(R$4,'4. Billing Determinants'!$B$19:$N$41,6,0)/'4. Billing Determinants'!$G$41*$D31,IF($E31="Distribution Rev.",VLOOKUP(R$4,'4. Billing Determinants'!$B$19:$N$41,8,0)/'4. Billing Determinants'!$I$41*$D31, VLOOKUP(R$4,'4. Billing Determinants'!$B$19:$N$41,3,0)/'4. Billing Determinants'!$D$41*$D31))))),0)</f>
        <v>0</v>
      </c>
      <c r="S31" s="75">
        <f>IFERROR(IF(S$4="",0,IF($E31="kWh",VLOOKUP(S$4,'4. Billing Determinants'!$B$19:$N$41,4,0)/'4. Billing Determinants'!$E$41*$D31,IF($E31="kW",VLOOKUP(S$4,'4. Billing Determinants'!$B$19:$N$41,5,0)/'4. Billing Determinants'!$F$41*$D31,IF($E31="Non-RPP kWh",VLOOKUP(S$4,'4. Billing Determinants'!$B$19:$N$41,6,0)/'4. Billing Determinants'!$G$41*$D31,IF($E31="Distribution Rev.",VLOOKUP(S$4,'4. Billing Determinants'!$B$19:$N$41,8,0)/'4. Billing Determinants'!$I$41*$D31, VLOOKUP(S$4,'4. Billing Determinants'!$B$19:$N$41,3,0)/'4. Billing Determinants'!$D$41*$D31))))),0)</f>
        <v>0</v>
      </c>
      <c r="T31" s="75">
        <f>IFERROR(IF(T$4="",0,IF($E31="kWh",VLOOKUP(T$4,'4. Billing Determinants'!$B$19:$N$41,4,0)/'4. Billing Determinants'!$E$41*$D31,IF($E31="kW",VLOOKUP(T$4,'4. Billing Determinants'!$B$19:$N$41,5,0)/'4. Billing Determinants'!$F$41*$D31,IF($E31="Non-RPP kWh",VLOOKUP(T$4,'4. Billing Determinants'!$B$19:$N$41,6,0)/'4. Billing Determinants'!$G$41*$D31,IF($E31="Distribution Rev.",VLOOKUP(T$4,'4. Billing Determinants'!$B$19:$N$41,8,0)/'4. Billing Determinants'!$I$41*$D31, VLOOKUP(T$4,'4. Billing Determinants'!$B$19:$N$41,3,0)/'4. Billing Determinants'!$D$41*$D31))))),0)</f>
        <v>0</v>
      </c>
      <c r="U31" s="75">
        <f>IFERROR(IF(U$4="",0,IF($E31="kWh",VLOOKUP(U$4,'4. Billing Determinants'!$B$19:$N$41,4,0)/'4. Billing Determinants'!$E$41*$D31,IF($E31="kW",VLOOKUP(U$4,'4. Billing Determinants'!$B$19:$N$41,5,0)/'4. Billing Determinants'!$F$41*$D31,IF($E31="Non-RPP kWh",VLOOKUP(U$4,'4. Billing Determinants'!$B$19:$N$41,6,0)/'4. Billing Determinants'!$G$41*$D31,IF($E31="Distribution Rev.",VLOOKUP(U$4,'4. Billing Determinants'!$B$19:$N$41,8,0)/'4. Billing Determinants'!$I$41*$D31, VLOOKUP(U$4,'4. Billing Determinants'!$B$19:$N$41,3,0)/'4. Billing Determinants'!$D$41*$D31))))),0)</f>
        <v>0</v>
      </c>
      <c r="V31" s="75">
        <f>IFERROR(IF(V$4="",0,IF($E31="kWh",VLOOKUP(V$4,'4. Billing Determinants'!$B$19:$N$41,4,0)/'4. Billing Determinants'!$E$41*$D31,IF($E31="kW",VLOOKUP(V$4,'4. Billing Determinants'!$B$19:$N$41,5,0)/'4. Billing Determinants'!$F$41*$D31,IF($E31="Non-RPP kWh",VLOOKUP(V$4,'4. Billing Determinants'!$B$19:$N$41,6,0)/'4. Billing Determinants'!$G$41*$D31,IF($E31="Distribution Rev.",VLOOKUP(V$4,'4. Billing Determinants'!$B$19:$N$41,8,0)/'4. Billing Determinants'!$I$41*$D31, VLOOKUP(V$4,'4. Billing Determinants'!$B$19:$N$41,3,0)/'4. Billing Determinants'!$D$41*$D31))))),0)</f>
        <v>0</v>
      </c>
      <c r="W31" s="75">
        <f>IFERROR(IF(W$4="",0,IF($E31="kWh",VLOOKUP(W$4,'4. Billing Determinants'!$B$19:$N$41,4,0)/'4. Billing Determinants'!$E$41*$D31,IF($E31="kW",VLOOKUP(W$4,'4. Billing Determinants'!$B$19:$N$41,5,0)/'4. Billing Determinants'!$F$41*$D31,IF($E31="Non-RPP kWh",VLOOKUP(W$4,'4. Billing Determinants'!$B$19:$N$41,6,0)/'4. Billing Determinants'!$G$41*$D31,IF($E31="Distribution Rev.",VLOOKUP(W$4,'4. Billing Determinants'!$B$19:$N$41,8,0)/'4. Billing Determinants'!$I$41*$D31, VLOOKUP(W$4,'4. Billing Determinants'!$B$19:$N$41,3,0)/'4. Billing Determinants'!$D$41*$D31))))),0)</f>
        <v>0</v>
      </c>
      <c r="X31" s="75">
        <f>IFERROR(IF(X$4="",0,IF($E31="kWh",VLOOKUP(X$4,'4. Billing Determinants'!$B$19:$N$41,4,0)/'4. Billing Determinants'!$E$41*$D31,IF($E31="kW",VLOOKUP(X$4,'4. Billing Determinants'!$B$19:$N$41,5,0)/'4. Billing Determinants'!$F$41*$D31,IF($E31="Non-RPP kWh",VLOOKUP(X$4,'4. Billing Determinants'!$B$19:$N$41,6,0)/'4. Billing Determinants'!$G$41*$D31,IF($E31="Distribution Rev.",VLOOKUP(X$4,'4. Billing Determinants'!$B$19:$N$41,8,0)/'4. Billing Determinants'!$I$41*$D31, VLOOKUP(X$4,'4. Billing Determinants'!$B$19:$N$41,3,0)/'4. Billing Determinants'!$D$41*$D31))))),0)</f>
        <v>0</v>
      </c>
      <c r="Y31" s="75">
        <f>IFERROR(IF(Y$4="",0,IF($E31="kWh",VLOOKUP(Y$4,'4. Billing Determinants'!$B$19:$N$41,4,0)/'4. Billing Determinants'!$E$41*$D31,IF($E31="kW",VLOOKUP(Y$4,'4. Billing Determinants'!$B$19:$N$41,5,0)/'4. Billing Determinants'!$F$41*$D31,IF($E31="Non-RPP kWh",VLOOKUP(Y$4,'4. Billing Determinants'!$B$19:$N$41,6,0)/'4. Billing Determinants'!$G$41*$D31,IF($E31="Distribution Rev.",VLOOKUP(Y$4,'4. Billing Determinants'!$B$19:$N$41,8,0)/'4. Billing Determinants'!$I$41*$D31, VLOOKUP(Y$4,'4. Billing Determinants'!$B$19:$N$41,3,0)/'4. Billing Determinants'!$D$41*$D31))))),0)</f>
        <v>0</v>
      </c>
    </row>
    <row r="32" spans="2:25" x14ac:dyDescent="0.2">
      <c r="B32" s="73" t="s">
        <v>39</v>
      </c>
      <c r="C32" s="74">
        <v>1536</v>
      </c>
      <c r="D32" s="75">
        <f>'2. 2013 Continuity Schedule'!CP55</f>
        <v>0</v>
      </c>
      <c r="E32" s="208"/>
      <c r="F32" s="75">
        <f>IFERROR(IF(F$4="",0,IF($E32="kWh",VLOOKUP(F$4,'4. Billing Determinants'!$B$19:$N$41,4,0)/'4. Billing Determinants'!$E$41*$D32,IF($E32="kW",VLOOKUP(F$4,'4. Billing Determinants'!$B$19:$N$41,5,0)/'4. Billing Determinants'!$F$41*$D32,IF($E32="Non-RPP kWh",VLOOKUP(F$4,'4. Billing Determinants'!$B$19:$N$41,6,0)/'4. Billing Determinants'!$G$41*$D32,IF($E32="Distribution Rev.",VLOOKUP(F$4,'4. Billing Determinants'!$B$19:$N$41,8,0)/'4. Billing Determinants'!$I$41*$D32, VLOOKUP(F$4,'4. Billing Determinants'!$B$19:$N$41,3,0)/'4. Billing Determinants'!$D$41*$D32))))),0)</f>
        <v>0</v>
      </c>
      <c r="G32" s="75">
        <f>IFERROR(IF(G$4="",0,IF($E32="kWh",VLOOKUP(G$4,'4. Billing Determinants'!$B$19:$N$41,4,0)/'4. Billing Determinants'!$E$41*$D32,IF($E32="kW",VLOOKUP(G$4,'4. Billing Determinants'!$B$19:$N$41,5,0)/'4. Billing Determinants'!$F$41*$D32,IF($E32="Non-RPP kWh",VLOOKUP(G$4,'4. Billing Determinants'!$B$19:$N$41,6,0)/'4. Billing Determinants'!$G$41*$D32,IF($E32="Distribution Rev.",VLOOKUP(G$4,'4. Billing Determinants'!$B$19:$N$41,8,0)/'4. Billing Determinants'!$I$41*$D32, VLOOKUP(G$4,'4. Billing Determinants'!$B$19:$N$41,3,0)/'4. Billing Determinants'!$D$41*$D32))))),0)</f>
        <v>0</v>
      </c>
      <c r="H32" s="75">
        <f>IFERROR(IF(H$4="",0,IF($E32="kWh",VLOOKUP(H$4,'4. Billing Determinants'!$B$19:$N$41,4,0)/'4. Billing Determinants'!$E$41*$D32,IF($E32="kW",VLOOKUP(H$4,'4. Billing Determinants'!$B$19:$N$41,5,0)/'4. Billing Determinants'!$F$41*$D32,IF($E32="Non-RPP kWh",VLOOKUP(H$4,'4. Billing Determinants'!$B$19:$N$41,6,0)/'4. Billing Determinants'!$G$41*$D32,IF($E32="Distribution Rev.",VLOOKUP(H$4,'4. Billing Determinants'!$B$19:$N$41,8,0)/'4. Billing Determinants'!$I$41*$D32, VLOOKUP(H$4,'4. Billing Determinants'!$B$19:$N$41,3,0)/'4. Billing Determinants'!$D$41*$D32))))),0)</f>
        <v>0</v>
      </c>
      <c r="I32" s="75">
        <f>IFERROR(IF(I$4="",0,IF($E32="kWh",VLOOKUP(I$4,'4. Billing Determinants'!$B$19:$N$41,4,0)/'4. Billing Determinants'!$E$41*$D32,IF($E32="kW",VLOOKUP(I$4,'4. Billing Determinants'!$B$19:$N$41,5,0)/'4. Billing Determinants'!$F$41*$D32,IF($E32="Non-RPP kWh",VLOOKUP(I$4,'4. Billing Determinants'!$B$19:$N$41,6,0)/'4. Billing Determinants'!$G$41*$D32,IF($E32="Distribution Rev.",VLOOKUP(I$4,'4. Billing Determinants'!$B$19:$N$41,8,0)/'4. Billing Determinants'!$I$41*$D32, VLOOKUP(I$4,'4. Billing Determinants'!$B$19:$N$41,3,0)/'4. Billing Determinants'!$D$41*$D32))))),0)</f>
        <v>0</v>
      </c>
      <c r="J32" s="75">
        <f>IFERROR(IF(J$4="",0,IF($E32="kWh",VLOOKUP(J$4,'4. Billing Determinants'!$B$19:$N$41,4,0)/'4. Billing Determinants'!$E$41*$D32,IF($E32="kW",VLOOKUP(J$4,'4. Billing Determinants'!$B$19:$N$41,5,0)/'4. Billing Determinants'!$F$41*$D32,IF($E32="Non-RPP kWh",VLOOKUP(J$4,'4. Billing Determinants'!$B$19:$N$41,6,0)/'4. Billing Determinants'!$G$41*$D32,IF($E32="Distribution Rev.",VLOOKUP(J$4,'4. Billing Determinants'!$B$19:$N$41,8,0)/'4. Billing Determinants'!$I$41*$D32, VLOOKUP(J$4,'4. Billing Determinants'!$B$19:$N$41,3,0)/'4. Billing Determinants'!$D$41*$D32))))),0)</f>
        <v>0</v>
      </c>
      <c r="K32" s="75">
        <f>IFERROR(IF(K$4="",0,IF($E32="kWh",VLOOKUP(K$4,'4. Billing Determinants'!$B$19:$N$41,4,0)/'4. Billing Determinants'!$E$41*$D32,IF($E32="kW",VLOOKUP(K$4,'4. Billing Determinants'!$B$19:$N$41,5,0)/'4. Billing Determinants'!$F$41*$D32,IF($E32="Non-RPP kWh",VLOOKUP(K$4,'4. Billing Determinants'!$B$19:$N$41,6,0)/'4. Billing Determinants'!$G$41*$D32,IF($E32="Distribution Rev.",VLOOKUP(K$4,'4. Billing Determinants'!$B$19:$N$41,8,0)/'4. Billing Determinants'!$I$41*$D32, VLOOKUP(K$4,'4. Billing Determinants'!$B$19:$N$41,3,0)/'4. Billing Determinants'!$D$41*$D32))))),0)</f>
        <v>0</v>
      </c>
      <c r="L32" s="75">
        <f>IFERROR(IF(L$4="",0,IF($E32="kWh",VLOOKUP(L$4,'4. Billing Determinants'!$B$19:$N$41,4,0)/'4. Billing Determinants'!$E$41*$D32,IF($E32="kW",VLOOKUP(L$4,'4. Billing Determinants'!$B$19:$N$41,5,0)/'4. Billing Determinants'!$F$41*$D32,IF($E32="Non-RPP kWh",VLOOKUP(L$4,'4. Billing Determinants'!$B$19:$N$41,6,0)/'4. Billing Determinants'!$G$41*$D32,IF($E32="Distribution Rev.",VLOOKUP(L$4,'4. Billing Determinants'!$B$19:$N$41,8,0)/'4. Billing Determinants'!$I$41*$D32, VLOOKUP(L$4,'4. Billing Determinants'!$B$19:$N$41,3,0)/'4. Billing Determinants'!$D$41*$D32))))),0)</f>
        <v>0</v>
      </c>
      <c r="M32" s="75">
        <f>IFERROR(IF(M$4="",0,IF($E32="kWh",VLOOKUP(M$4,'4. Billing Determinants'!$B$19:$N$41,4,0)/'4. Billing Determinants'!$E$41*$D32,IF($E32="kW",VLOOKUP(M$4,'4. Billing Determinants'!$B$19:$N$41,5,0)/'4. Billing Determinants'!$F$41*$D32,IF($E32="Non-RPP kWh",VLOOKUP(M$4,'4. Billing Determinants'!$B$19:$N$41,6,0)/'4. Billing Determinants'!$G$41*$D32,IF($E32="Distribution Rev.",VLOOKUP(M$4,'4. Billing Determinants'!$B$19:$N$41,8,0)/'4. Billing Determinants'!$I$41*$D32, VLOOKUP(M$4,'4. Billing Determinants'!$B$19:$N$41,3,0)/'4. Billing Determinants'!$D$41*$D32))))),0)</f>
        <v>0</v>
      </c>
      <c r="N32" s="75">
        <f>IFERROR(IF(N$4="",0,IF($E32="kWh",VLOOKUP(N$4,'4. Billing Determinants'!$B$19:$N$41,4,0)/'4. Billing Determinants'!$E$41*$D32,IF($E32="kW",VLOOKUP(N$4,'4. Billing Determinants'!$B$19:$N$41,5,0)/'4. Billing Determinants'!$F$41*$D32,IF($E32="Non-RPP kWh",VLOOKUP(N$4,'4. Billing Determinants'!$B$19:$N$41,6,0)/'4. Billing Determinants'!$G$41*$D32,IF($E32="Distribution Rev.",VLOOKUP(N$4,'4. Billing Determinants'!$B$19:$N$41,8,0)/'4. Billing Determinants'!$I$41*$D32, VLOOKUP(N$4,'4. Billing Determinants'!$B$19:$N$41,3,0)/'4. Billing Determinants'!$D$41*$D32))))),0)</f>
        <v>0</v>
      </c>
      <c r="O32" s="75">
        <f>IFERROR(IF(O$4="",0,IF($E32="kWh",VLOOKUP(O$4,'4. Billing Determinants'!$B$19:$N$41,4,0)/'4. Billing Determinants'!$E$41*$D32,IF($E32="kW",VLOOKUP(O$4,'4. Billing Determinants'!$B$19:$N$41,5,0)/'4. Billing Determinants'!$F$41*$D32,IF($E32="Non-RPP kWh",VLOOKUP(O$4,'4. Billing Determinants'!$B$19:$N$41,6,0)/'4. Billing Determinants'!$G$41*$D32,IF($E32="Distribution Rev.",VLOOKUP(O$4,'4. Billing Determinants'!$B$19:$N$41,8,0)/'4. Billing Determinants'!$I$41*$D32, VLOOKUP(O$4,'4. Billing Determinants'!$B$19:$N$41,3,0)/'4. Billing Determinants'!$D$41*$D32))))),0)</f>
        <v>0</v>
      </c>
      <c r="P32" s="75">
        <f>IFERROR(IF(P$4="",0,IF($E32="kWh",VLOOKUP(P$4,'4. Billing Determinants'!$B$19:$N$41,4,0)/'4. Billing Determinants'!$E$41*$D32,IF($E32="kW",VLOOKUP(P$4,'4. Billing Determinants'!$B$19:$N$41,5,0)/'4. Billing Determinants'!$F$41*$D32,IF($E32="Non-RPP kWh",VLOOKUP(P$4,'4. Billing Determinants'!$B$19:$N$41,6,0)/'4. Billing Determinants'!$G$41*$D32,IF($E32="Distribution Rev.",VLOOKUP(P$4,'4. Billing Determinants'!$B$19:$N$41,8,0)/'4. Billing Determinants'!$I$41*$D32, VLOOKUP(P$4,'4. Billing Determinants'!$B$19:$N$41,3,0)/'4. Billing Determinants'!$D$41*$D32))))),0)</f>
        <v>0</v>
      </c>
      <c r="Q32" s="75">
        <f>IFERROR(IF(Q$4="",0,IF($E32="kWh",VLOOKUP(Q$4,'4. Billing Determinants'!$B$19:$N$41,4,0)/'4. Billing Determinants'!$E$41*$D32,IF($E32="kW",VLOOKUP(Q$4,'4. Billing Determinants'!$B$19:$N$41,5,0)/'4. Billing Determinants'!$F$41*$D32,IF($E32="Non-RPP kWh",VLOOKUP(Q$4,'4. Billing Determinants'!$B$19:$N$41,6,0)/'4. Billing Determinants'!$G$41*$D32,IF($E32="Distribution Rev.",VLOOKUP(Q$4,'4. Billing Determinants'!$B$19:$N$41,8,0)/'4. Billing Determinants'!$I$41*$D32, VLOOKUP(Q$4,'4. Billing Determinants'!$B$19:$N$41,3,0)/'4. Billing Determinants'!$D$41*$D32))))),0)</f>
        <v>0</v>
      </c>
      <c r="R32" s="75">
        <f>IFERROR(IF(R$4="",0,IF($E32="kWh",VLOOKUP(R$4,'4. Billing Determinants'!$B$19:$N$41,4,0)/'4. Billing Determinants'!$E$41*$D32,IF($E32="kW",VLOOKUP(R$4,'4. Billing Determinants'!$B$19:$N$41,5,0)/'4. Billing Determinants'!$F$41*$D32,IF($E32="Non-RPP kWh",VLOOKUP(R$4,'4. Billing Determinants'!$B$19:$N$41,6,0)/'4. Billing Determinants'!$G$41*$D32,IF($E32="Distribution Rev.",VLOOKUP(R$4,'4. Billing Determinants'!$B$19:$N$41,8,0)/'4. Billing Determinants'!$I$41*$D32, VLOOKUP(R$4,'4. Billing Determinants'!$B$19:$N$41,3,0)/'4. Billing Determinants'!$D$41*$D32))))),0)</f>
        <v>0</v>
      </c>
      <c r="S32" s="75">
        <f>IFERROR(IF(S$4="",0,IF($E32="kWh",VLOOKUP(S$4,'4. Billing Determinants'!$B$19:$N$41,4,0)/'4. Billing Determinants'!$E$41*$D32,IF($E32="kW",VLOOKUP(S$4,'4. Billing Determinants'!$B$19:$N$41,5,0)/'4. Billing Determinants'!$F$41*$D32,IF($E32="Non-RPP kWh",VLOOKUP(S$4,'4. Billing Determinants'!$B$19:$N$41,6,0)/'4. Billing Determinants'!$G$41*$D32,IF($E32="Distribution Rev.",VLOOKUP(S$4,'4. Billing Determinants'!$B$19:$N$41,8,0)/'4. Billing Determinants'!$I$41*$D32, VLOOKUP(S$4,'4. Billing Determinants'!$B$19:$N$41,3,0)/'4. Billing Determinants'!$D$41*$D32))))),0)</f>
        <v>0</v>
      </c>
      <c r="T32" s="75">
        <f>IFERROR(IF(T$4="",0,IF($E32="kWh",VLOOKUP(T$4,'4. Billing Determinants'!$B$19:$N$41,4,0)/'4. Billing Determinants'!$E$41*$D32,IF($E32="kW",VLOOKUP(T$4,'4. Billing Determinants'!$B$19:$N$41,5,0)/'4. Billing Determinants'!$F$41*$D32,IF($E32="Non-RPP kWh",VLOOKUP(T$4,'4. Billing Determinants'!$B$19:$N$41,6,0)/'4. Billing Determinants'!$G$41*$D32,IF($E32="Distribution Rev.",VLOOKUP(T$4,'4. Billing Determinants'!$B$19:$N$41,8,0)/'4. Billing Determinants'!$I$41*$D32, VLOOKUP(T$4,'4. Billing Determinants'!$B$19:$N$41,3,0)/'4. Billing Determinants'!$D$41*$D32))))),0)</f>
        <v>0</v>
      </c>
      <c r="U32" s="75">
        <f>IFERROR(IF(U$4="",0,IF($E32="kWh",VLOOKUP(U$4,'4. Billing Determinants'!$B$19:$N$41,4,0)/'4. Billing Determinants'!$E$41*$D32,IF($E32="kW",VLOOKUP(U$4,'4. Billing Determinants'!$B$19:$N$41,5,0)/'4. Billing Determinants'!$F$41*$D32,IF($E32="Non-RPP kWh",VLOOKUP(U$4,'4. Billing Determinants'!$B$19:$N$41,6,0)/'4. Billing Determinants'!$G$41*$D32,IF($E32="Distribution Rev.",VLOOKUP(U$4,'4. Billing Determinants'!$B$19:$N$41,8,0)/'4. Billing Determinants'!$I$41*$D32, VLOOKUP(U$4,'4. Billing Determinants'!$B$19:$N$41,3,0)/'4. Billing Determinants'!$D$41*$D32))))),0)</f>
        <v>0</v>
      </c>
      <c r="V32" s="75">
        <f>IFERROR(IF(V$4="",0,IF($E32="kWh",VLOOKUP(V$4,'4. Billing Determinants'!$B$19:$N$41,4,0)/'4. Billing Determinants'!$E$41*$D32,IF($E32="kW",VLOOKUP(V$4,'4. Billing Determinants'!$B$19:$N$41,5,0)/'4. Billing Determinants'!$F$41*$D32,IF($E32="Non-RPP kWh",VLOOKUP(V$4,'4. Billing Determinants'!$B$19:$N$41,6,0)/'4. Billing Determinants'!$G$41*$D32,IF($E32="Distribution Rev.",VLOOKUP(V$4,'4. Billing Determinants'!$B$19:$N$41,8,0)/'4. Billing Determinants'!$I$41*$D32, VLOOKUP(V$4,'4. Billing Determinants'!$B$19:$N$41,3,0)/'4. Billing Determinants'!$D$41*$D32))))),0)</f>
        <v>0</v>
      </c>
      <c r="W32" s="75">
        <f>IFERROR(IF(W$4="",0,IF($E32="kWh",VLOOKUP(W$4,'4. Billing Determinants'!$B$19:$N$41,4,0)/'4. Billing Determinants'!$E$41*$D32,IF($E32="kW",VLOOKUP(W$4,'4. Billing Determinants'!$B$19:$N$41,5,0)/'4. Billing Determinants'!$F$41*$D32,IF($E32="Non-RPP kWh",VLOOKUP(W$4,'4. Billing Determinants'!$B$19:$N$41,6,0)/'4. Billing Determinants'!$G$41*$D32,IF($E32="Distribution Rev.",VLOOKUP(W$4,'4. Billing Determinants'!$B$19:$N$41,8,0)/'4. Billing Determinants'!$I$41*$D32, VLOOKUP(W$4,'4. Billing Determinants'!$B$19:$N$41,3,0)/'4. Billing Determinants'!$D$41*$D32))))),0)</f>
        <v>0</v>
      </c>
      <c r="X32" s="75">
        <f>IFERROR(IF(X$4="",0,IF($E32="kWh",VLOOKUP(X$4,'4. Billing Determinants'!$B$19:$N$41,4,0)/'4. Billing Determinants'!$E$41*$D32,IF($E32="kW",VLOOKUP(X$4,'4. Billing Determinants'!$B$19:$N$41,5,0)/'4. Billing Determinants'!$F$41*$D32,IF($E32="Non-RPP kWh",VLOOKUP(X$4,'4. Billing Determinants'!$B$19:$N$41,6,0)/'4. Billing Determinants'!$G$41*$D32,IF($E32="Distribution Rev.",VLOOKUP(X$4,'4. Billing Determinants'!$B$19:$N$41,8,0)/'4. Billing Determinants'!$I$41*$D32, VLOOKUP(X$4,'4. Billing Determinants'!$B$19:$N$41,3,0)/'4. Billing Determinants'!$D$41*$D32))))),0)</f>
        <v>0</v>
      </c>
      <c r="Y32" s="75">
        <f>IFERROR(IF(Y$4="",0,IF($E32="kWh",VLOOKUP(Y$4,'4. Billing Determinants'!$B$19:$N$41,4,0)/'4. Billing Determinants'!$E$41*$D32,IF($E32="kW",VLOOKUP(Y$4,'4. Billing Determinants'!$B$19:$N$41,5,0)/'4. Billing Determinants'!$F$41*$D32,IF($E32="Non-RPP kWh",VLOOKUP(Y$4,'4. Billing Determinants'!$B$19:$N$41,6,0)/'4. Billing Determinants'!$G$41*$D32,IF($E32="Distribution Rev.",VLOOKUP(Y$4,'4. Billing Determinants'!$B$19:$N$41,8,0)/'4. Billing Determinants'!$I$41*$D32, VLOOKUP(Y$4,'4. Billing Determinants'!$B$19:$N$41,3,0)/'4. Billing Determinants'!$D$41*$D32))))),0)</f>
        <v>0</v>
      </c>
    </row>
    <row r="33" spans="1:25" x14ac:dyDescent="0.2">
      <c r="B33" s="73" t="s">
        <v>5</v>
      </c>
      <c r="C33" s="74">
        <v>1548</v>
      </c>
      <c r="D33" s="75">
        <f>'2. 2013 Continuity Schedule'!CP56</f>
        <v>6235.0099999999993</v>
      </c>
      <c r="E33" s="208" t="s">
        <v>157</v>
      </c>
      <c r="F33" s="75">
        <f>IFERROR(IF(F$4="",0,IF($E33="kWh",VLOOKUP(F$4,'4. Billing Determinants'!$B$19:$N$41,4,0)/'4. Billing Determinants'!$E$41*$D33,IF($E33="kW",VLOOKUP(F$4,'4. Billing Determinants'!$B$19:$N$41,5,0)/'4. Billing Determinants'!$F$41*$D33,IF($E33="Non-RPP kWh",VLOOKUP(F$4,'4. Billing Determinants'!$B$19:$N$41,6,0)/'4. Billing Determinants'!$G$41*$D33,IF($E33="Distribution Rev.",VLOOKUP(F$4,'4. Billing Determinants'!$B$19:$N$41,8,0)/'4. Billing Determinants'!$I$41*$D33, VLOOKUP(F$4,'4. Billing Determinants'!$B$19:$N$41,3,0)/'4. Billing Determinants'!$D$41*$D33))))),0)</f>
        <v>5361.5048076923067</v>
      </c>
      <c r="G33" s="75">
        <f>IFERROR(IF(G$4="",0,IF($E33="kWh",VLOOKUP(G$4,'4. Billing Determinants'!$B$19:$N$41,4,0)/'4. Billing Determinants'!$E$41*$D33,IF($E33="kW",VLOOKUP(G$4,'4. Billing Determinants'!$B$19:$N$41,5,0)/'4. Billing Determinants'!$F$41*$D33,IF($E33="Non-RPP kWh",VLOOKUP(G$4,'4. Billing Determinants'!$B$19:$N$41,6,0)/'4. Billing Determinants'!$G$41*$D33,IF($E33="Distribution Rev.",VLOOKUP(G$4,'4. Billing Determinants'!$B$19:$N$41,8,0)/'4. Billing Determinants'!$I$41*$D33, VLOOKUP(G$4,'4. Billing Determinants'!$B$19:$N$41,3,0)/'4. Billing Determinants'!$D$41*$D33))))),0)</f>
        <v>667.58923076923077</v>
      </c>
      <c r="H33" s="75">
        <f>IFERROR(IF(H$4="",0,IF($E33="kWh",VLOOKUP(H$4,'4. Billing Determinants'!$B$19:$N$41,4,0)/'4. Billing Determinants'!$E$41*$D33,IF($E33="kW",VLOOKUP(H$4,'4. Billing Determinants'!$B$19:$N$41,5,0)/'4. Billing Determinants'!$F$41*$D33,IF($E33="Non-RPP kWh",VLOOKUP(H$4,'4. Billing Determinants'!$B$19:$N$41,6,0)/'4. Billing Determinants'!$G$41*$D33,IF($E33="Distribution Rev.",VLOOKUP(H$4,'4. Billing Determinants'!$B$19:$N$41,8,0)/'4. Billing Determinants'!$I$41*$D33, VLOOKUP(H$4,'4. Billing Determinants'!$B$19:$N$41,3,0)/'4. Billing Determinants'!$D$41*$D33))))),0)</f>
        <v>44.999615384615382</v>
      </c>
      <c r="I33" s="75">
        <f>IFERROR(IF(I$4="",0,IF($E33="kWh",VLOOKUP(I$4,'4. Billing Determinants'!$B$19:$N$41,4,0)/'4. Billing Determinants'!$E$41*$D33,IF($E33="kW",VLOOKUP(I$4,'4. Billing Determinants'!$B$19:$N$41,5,0)/'4. Billing Determinants'!$F$41*$D33,IF($E33="Non-RPP kWh",VLOOKUP(I$4,'4. Billing Determinants'!$B$19:$N$41,6,0)/'4. Billing Determinants'!$G$41*$D33,IF($E33="Distribution Rev.",VLOOKUP(I$4,'4. Billing Determinants'!$B$19:$N$41,8,0)/'4. Billing Determinants'!$I$41*$D33, VLOOKUP(I$4,'4. Billing Determinants'!$B$19:$N$41,3,0)/'4. Billing Determinants'!$D$41*$D33))))),0)</f>
        <v>141.26461538461538</v>
      </c>
      <c r="J33" s="75">
        <f>IFERROR(IF(J$4="",0,IF($E33="kWh",VLOOKUP(J$4,'4. Billing Determinants'!$B$19:$N$41,4,0)/'4. Billing Determinants'!$E$41*$D33,IF($E33="kW",VLOOKUP(J$4,'4. Billing Determinants'!$B$19:$N$41,5,0)/'4. Billing Determinants'!$F$41*$D33,IF($E33="Non-RPP kWh",VLOOKUP(J$4,'4. Billing Determinants'!$B$19:$N$41,6,0)/'4. Billing Determinants'!$G$41*$D33,IF($E33="Distribution Rev.",VLOOKUP(J$4,'4. Billing Determinants'!$B$19:$N$41,8,0)/'4. Billing Determinants'!$I$41*$D33, VLOOKUP(J$4,'4. Billing Determinants'!$B$19:$N$41,3,0)/'4. Billing Determinants'!$D$41*$D33))))),0)</f>
        <v>0.56961538461538452</v>
      </c>
      <c r="K33" s="75">
        <f>IFERROR(IF(K$4="",0,IF($E33="kWh",VLOOKUP(K$4,'4. Billing Determinants'!$B$19:$N$41,4,0)/'4. Billing Determinants'!$E$41*$D33,IF($E33="kW",VLOOKUP(K$4,'4. Billing Determinants'!$B$19:$N$41,5,0)/'4. Billing Determinants'!$F$41*$D33,IF($E33="Non-RPP kWh",VLOOKUP(K$4,'4. Billing Determinants'!$B$19:$N$41,6,0)/'4. Billing Determinants'!$G$41*$D33,IF($E33="Distribution Rev.",VLOOKUP(K$4,'4. Billing Determinants'!$B$19:$N$41,8,0)/'4. Billing Determinants'!$I$41*$D33, VLOOKUP(K$4,'4. Billing Determinants'!$B$19:$N$41,3,0)/'4. Billing Determinants'!$D$41*$D33))))),0)</f>
        <v>19.082115384615381</v>
      </c>
      <c r="L33" s="75">
        <f>IFERROR(IF(L$4="",0,IF($E33="kWh",VLOOKUP(L$4,'4. Billing Determinants'!$B$19:$N$41,4,0)/'4. Billing Determinants'!$E$41*$D33,IF($E33="kW",VLOOKUP(L$4,'4. Billing Determinants'!$B$19:$N$41,5,0)/'4. Billing Determinants'!$F$41*$D33,IF($E33="Non-RPP kWh",VLOOKUP(L$4,'4. Billing Determinants'!$B$19:$N$41,6,0)/'4. Billing Determinants'!$G$41*$D33,IF($E33="Distribution Rev.",VLOOKUP(L$4,'4. Billing Determinants'!$B$19:$N$41,8,0)/'4. Billing Determinants'!$I$41*$D33, VLOOKUP(L$4,'4. Billing Determinants'!$B$19:$N$41,3,0)/'4. Billing Determinants'!$D$41*$D33))))),0)</f>
        <v>0</v>
      </c>
      <c r="M33" s="75">
        <f>IFERROR(IF(M$4="",0,IF($E33="kWh",VLOOKUP(M$4,'4. Billing Determinants'!$B$19:$N$41,4,0)/'4. Billing Determinants'!$E$41*$D33,IF($E33="kW",VLOOKUP(M$4,'4. Billing Determinants'!$B$19:$N$41,5,0)/'4. Billing Determinants'!$F$41*$D33,IF($E33="Non-RPP kWh",VLOOKUP(M$4,'4. Billing Determinants'!$B$19:$N$41,6,0)/'4. Billing Determinants'!$G$41*$D33,IF($E33="Distribution Rev.",VLOOKUP(M$4,'4. Billing Determinants'!$B$19:$N$41,8,0)/'4. Billing Determinants'!$I$41*$D33, VLOOKUP(M$4,'4. Billing Determinants'!$B$19:$N$41,3,0)/'4. Billing Determinants'!$D$41*$D33))))),0)</f>
        <v>0</v>
      </c>
      <c r="N33" s="75">
        <f>IFERROR(IF(N$4="",0,IF($E33="kWh",VLOOKUP(N$4,'4. Billing Determinants'!$B$19:$N$41,4,0)/'4. Billing Determinants'!$E$41*$D33,IF($E33="kW",VLOOKUP(N$4,'4. Billing Determinants'!$B$19:$N$41,5,0)/'4. Billing Determinants'!$F$41*$D33,IF($E33="Non-RPP kWh",VLOOKUP(N$4,'4. Billing Determinants'!$B$19:$N$41,6,0)/'4. Billing Determinants'!$G$41*$D33,IF($E33="Distribution Rev.",VLOOKUP(N$4,'4. Billing Determinants'!$B$19:$N$41,8,0)/'4. Billing Determinants'!$I$41*$D33, VLOOKUP(N$4,'4. Billing Determinants'!$B$19:$N$41,3,0)/'4. Billing Determinants'!$D$41*$D33))))),0)</f>
        <v>0</v>
      </c>
      <c r="O33" s="75">
        <f>IFERROR(IF(O$4="",0,IF($E33="kWh",VLOOKUP(O$4,'4. Billing Determinants'!$B$19:$N$41,4,0)/'4. Billing Determinants'!$E$41*$D33,IF($E33="kW",VLOOKUP(O$4,'4. Billing Determinants'!$B$19:$N$41,5,0)/'4. Billing Determinants'!$F$41*$D33,IF($E33="Non-RPP kWh",VLOOKUP(O$4,'4. Billing Determinants'!$B$19:$N$41,6,0)/'4. Billing Determinants'!$G$41*$D33,IF($E33="Distribution Rev.",VLOOKUP(O$4,'4. Billing Determinants'!$B$19:$N$41,8,0)/'4. Billing Determinants'!$I$41*$D33, VLOOKUP(O$4,'4. Billing Determinants'!$B$19:$N$41,3,0)/'4. Billing Determinants'!$D$41*$D33))))),0)</f>
        <v>0</v>
      </c>
      <c r="P33" s="75">
        <f>IFERROR(IF(P$4="",0,IF($E33="kWh",VLOOKUP(P$4,'4. Billing Determinants'!$B$19:$N$41,4,0)/'4. Billing Determinants'!$E$41*$D33,IF($E33="kW",VLOOKUP(P$4,'4. Billing Determinants'!$B$19:$N$41,5,0)/'4. Billing Determinants'!$F$41*$D33,IF($E33="Non-RPP kWh",VLOOKUP(P$4,'4. Billing Determinants'!$B$19:$N$41,6,0)/'4. Billing Determinants'!$G$41*$D33,IF($E33="Distribution Rev.",VLOOKUP(P$4,'4. Billing Determinants'!$B$19:$N$41,8,0)/'4. Billing Determinants'!$I$41*$D33, VLOOKUP(P$4,'4. Billing Determinants'!$B$19:$N$41,3,0)/'4. Billing Determinants'!$D$41*$D33))))),0)</f>
        <v>0</v>
      </c>
      <c r="Q33" s="75">
        <f>IFERROR(IF(Q$4="",0,IF($E33="kWh",VLOOKUP(Q$4,'4. Billing Determinants'!$B$19:$N$41,4,0)/'4. Billing Determinants'!$E$41*$D33,IF($E33="kW",VLOOKUP(Q$4,'4. Billing Determinants'!$B$19:$N$41,5,0)/'4. Billing Determinants'!$F$41*$D33,IF($E33="Non-RPP kWh",VLOOKUP(Q$4,'4. Billing Determinants'!$B$19:$N$41,6,0)/'4. Billing Determinants'!$G$41*$D33,IF($E33="Distribution Rev.",VLOOKUP(Q$4,'4. Billing Determinants'!$B$19:$N$41,8,0)/'4. Billing Determinants'!$I$41*$D33, VLOOKUP(Q$4,'4. Billing Determinants'!$B$19:$N$41,3,0)/'4. Billing Determinants'!$D$41*$D33))))),0)</f>
        <v>0</v>
      </c>
      <c r="R33" s="75">
        <f>IFERROR(IF(R$4="",0,IF($E33="kWh",VLOOKUP(R$4,'4. Billing Determinants'!$B$19:$N$41,4,0)/'4. Billing Determinants'!$E$41*$D33,IF($E33="kW",VLOOKUP(R$4,'4. Billing Determinants'!$B$19:$N$41,5,0)/'4. Billing Determinants'!$F$41*$D33,IF($E33="Non-RPP kWh",VLOOKUP(R$4,'4. Billing Determinants'!$B$19:$N$41,6,0)/'4. Billing Determinants'!$G$41*$D33,IF($E33="Distribution Rev.",VLOOKUP(R$4,'4. Billing Determinants'!$B$19:$N$41,8,0)/'4. Billing Determinants'!$I$41*$D33, VLOOKUP(R$4,'4. Billing Determinants'!$B$19:$N$41,3,0)/'4. Billing Determinants'!$D$41*$D33))))),0)</f>
        <v>0</v>
      </c>
      <c r="S33" s="75">
        <f>IFERROR(IF(S$4="",0,IF($E33="kWh",VLOOKUP(S$4,'4. Billing Determinants'!$B$19:$N$41,4,0)/'4. Billing Determinants'!$E$41*$D33,IF($E33="kW",VLOOKUP(S$4,'4. Billing Determinants'!$B$19:$N$41,5,0)/'4. Billing Determinants'!$F$41*$D33,IF($E33="Non-RPP kWh",VLOOKUP(S$4,'4. Billing Determinants'!$B$19:$N$41,6,0)/'4. Billing Determinants'!$G$41*$D33,IF($E33="Distribution Rev.",VLOOKUP(S$4,'4. Billing Determinants'!$B$19:$N$41,8,0)/'4. Billing Determinants'!$I$41*$D33, VLOOKUP(S$4,'4. Billing Determinants'!$B$19:$N$41,3,0)/'4. Billing Determinants'!$D$41*$D33))))),0)</f>
        <v>0</v>
      </c>
      <c r="T33" s="75">
        <f>IFERROR(IF(T$4="",0,IF($E33="kWh",VLOOKUP(T$4,'4. Billing Determinants'!$B$19:$N$41,4,0)/'4. Billing Determinants'!$E$41*$D33,IF($E33="kW",VLOOKUP(T$4,'4. Billing Determinants'!$B$19:$N$41,5,0)/'4. Billing Determinants'!$F$41*$D33,IF($E33="Non-RPP kWh",VLOOKUP(T$4,'4. Billing Determinants'!$B$19:$N$41,6,0)/'4. Billing Determinants'!$G$41*$D33,IF($E33="Distribution Rev.",VLOOKUP(T$4,'4. Billing Determinants'!$B$19:$N$41,8,0)/'4. Billing Determinants'!$I$41*$D33, VLOOKUP(T$4,'4. Billing Determinants'!$B$19:$N$41,3,0)/'4. Billing Determinants'!$D$41*$D33))))),0)</f>
        <v>0</v>
      </c>
      <c r="U33" s="75">
        <f>IFERROR(IF(U$4="",0,IF($E33="kWh",VLOOKUP(U$4,'4. Billing Determinants'!$B$19:$N$41,4,0)/'4. Billing Determinants'!$E$41*$D33,IF($E33="kW",VLOOKUP(U$4,'4. Billing Determinants'!$B$19:$N$41,5,0)/'4. Billing Determinants'!$F$41*$D33,IF($E33="Non-RPP kWh",VLOOKUP(U$4,'4. Billing Determinants'!$B$19:$N$41,6,0)/'4. Billing Determinants'!$G$41*$D33,IF($E33="Distribution Rev.",VLOOKUP(U$4,'4. Billing Determinants'!$B$19:$N$41,8,0)/'4. Billing Determinants'!$I$41*$D33, VLOOKUP(U$4,'4. Billing Determinants'!$B$19:$N$41,3,0)/'4. Billing Determinants'!$D$41*$D33))))),0)</f>
        <v>0</v>
      </c>
      <c r="V33" s="75">
        <f>IFERROR(IF(V$4="",0,IF($E33="kWh",VLOOKUP(V$4,'4. Billing Determinants'!$B$19:$N$41,4,0)/'4. Billing Determinants'!$E$41*$D33,IF($E33="kW",VLOOKUP(V$4,'4. Billing Determinants'!$B$19:$N$41,5,0)/'4. Billing Determinants'!$F$41*$D33,IF($E33="Non-RPP kWh",VLOOKUP(V$4,'4. Billing Determinants'!$B$19:$N$41,6,0)/'4. Billing Determinants'!$G$41*$D33,IF($E33="Distribution Rev.",VLOOKUP(V$4,'4. Billing Determinants'!$B$19:$N$41,8,0)/'4. Billing Determinants'!$I$41*$D33, VLOOKUP(V$4,'4. Billing Determinants'!$B$19:$N$41,3,0)/'4. Billing Determinants'!$D$41*$D33))))),0)</f>
        <v>0</v>
      </c>
      <c r="W33" s="75">
        <f>IFERROR(IF(W$4="",0,IF($E33="kWh",VLOOKUP(W$4,'4. Billing Determinants'!$B$19:$N$41,4,0)/'4. Billing Determinants'!$E$41*$D33,IF($E33="kW",VLOOKUP(W$4,'4. Billing Determinants'!$B$19:$N$41,5,0)/'4. Billing Determinants'!$F$41*$D33,IF($E33="Non-RPP kWh",VLOOKUP(W$4,'4. Billing Determinants'!$B$19:$N$41,6,0)/'4. Billing Determinants'!$G$41*$D33,IF($E33="Distribution Rev.",VLOOKUP(W$4,'4. Billing Determinants'!$B$19:$N$41,8,0)/'4. Billing Determinants'!$I$41*$D33, VLOOKUP(W$4,'4. Billing Determinants'!$B$19:$N$41,3,0)/'4. Billing Determinants'!$D$41*$D33))))),0)</f>
        <v>0</v>
      </c>
      <c r="X33" s="75">
        <f>IFERROR(IF(X$4="",0,IF($E33="kWh",VLOOKUP(X$4,'4. Billing Determinants'!$B$19:$N$41,4,0)/'4. Billing Determinants'!$E$41*$D33,IF($E33="kW",VLOOKUP(X$4,'4. Billing Determinants'!$B$19:$N$41,5,0)/'4. Billing Determinants'!$F$41*$D33,IF($E33="Non-RPP kWh",VLOOKUP(X$4,'4. Billing Determinants'!$B$19:$N$41,6,0)/'4. Billing Determinants'!$G$41*$D33,IF($E33="Distribution Rev.",VLOOKUP(X$4,'4. Billing Determinants'!$B$19:$N$41,8,0)/'4. Billing Determinants'!$I$41*$D33, VLOOKUP(X$4,'4. Billing Determinants'!$B$19:$N$41,3,0)/'4. Billing Determinants'!$D$41*$D33))))),0)</f>
        <v>0</v>
      </c>
      <c r="Y33" s="75">
        <f>IFERROR(IF(Y$4="",0,IF($E33="kWh",VLOOKUP(Y$4,'4. Billing Determinants'!$B$19:$N$41,4,0)/'4. Billing Determinants'!$E$41*$D33,IF($E33="kW",VLOOKUP(Y$4,'4. Billing Determinants'!$B$19:$N$41,5,0)/'4. Billing Determinants'!$F$41*$D33,IF($E33="Non-RPP kWh",VLOOKUP(Y$4,'4. Billing Determinants'!$B$19:$N$41,6,0)/'4. Billing Determinants'!$G$41*$D33,IF($E33="Distribution Rev.",VLOOKUP(Y$4,'4. Billing Determinants'!$B$19:$N$41,8,0)/'4. Billing Determinants'!$I$41*$D33, VLOOKUP(Y$4,'4. Billing Determinants'!$B$19:$N$41,3,0)/'4. Billing Determinants'!$D$41*$D33))))),0)</f>
        <v>0</v>
      </c>
    </row>
    <row r="34" spans="1:25" x14ac:dyDescent="0.2">
      <c r="B34" s="73" t="s">
        <v>66</v>
      </c>
      <c r="C34" s="74">
        <v>1567</v>
      </c>
      <c r="D34" s="75">
        <f>'2. 2013 Continuity Schedule'!CP57</f>
        <v>0</v>
      </c>
      <c r="E34" s="208"/>
      <c r="F34" s="75">
        <f>IFERROR(IF(F$4="",0,IF($E34="kWh",VLOOKUP(F$4,'4. Billing Determinants'!$B$19:$N$41,4,0)/'4. Billing Determinants'!$E$41*$D34,IF($E34="kW",VLOOKUP(F$4,'4. Billing Determinants'!$B$19:$N$41,5,0)/'4. Billing Determinants'!$F$41*$D34,IF($E34="Non-RPP kWh",VLOOKUP(F$4,'4. Billing Determinants'!$B$19:$N$41,6,0)/'4. Billing Determinants'!$G$41*$D34,IF($E34="Distribution Rev.",VLOOKUP(F$4,'4. Billing Determinants'!$B$19:$N$41,8,0)/'4. Billing Determinants'!$I$41*$D34, VLOOKUP(F$4,'4. Billing Determinants'!$B$19:$N$41,3,0)/'4. Billing Determinants'!$D$41*$D34))))),0)</f>
        <v>0</v>
      </c>
      <c r="G34" s="75">
        <f>IFERROR(IF(G$4="",0,IF($E34="kWh",VLOOKUP(G$4,'4. Billing Determinants'!$B$19:$N$41,4,0)/'4. Billing Determinants'!$E$41*$D34,IF($E34="kW",VLOOKUP(G$4,'4. Billing Determinants'!$B$19:$N$41,5,0)/'4. Billing Determinants'!$F$41*$D34,IF($E34="Non-RPP kWh",VLOOKUP(G$4,'4. Billing Determinants'!$B$19:$N$41,6,0)/'4. Billing Determinants'!$G$41*$D34,IF($E34="Distribution Rev.",VLOOKUP(G$4,'4. Billing Determinants'!$B$19:$N$41,8,0)/'4. Billing Determinants'!$I$41*$D34, VLOOKUP(G$4,'4. Billing Determinants'!$B$19:$N$41,3,0)/'4. Billing Determinants'!$D$41*$D34))))),0)</f>
        <v>0</v>
      </c>
      <c r="H34" s="75">
        <f>IFERROR(IF(H$4="",0,IF($E34="kWh",VLOOKUP(H$4,'4. Billing Determinants'!$B$19:$N$41,4,0)/'4. Billing Determinants'!$E$41*$D34,IF($E34="kW",VLOOKUP(H$4,'4. Billing Determinants'!$B$19:$N$41,5,0)/'4. Billing Determinants'!$F$41*$D34,IF($E34="Non-RPP kWh",VLOOKUP(H$4,'4. Billing Determinants'!$B$19:$N$41,6,0)/'4. Billing Determinants'!$G$41*$D34,IF($E34="Distribution Rev.",VLOOKUP(H$4,'4. Billing Determinants'!$B$19:$N$41,8,0)/'4. Billing Determinants'!$I$41*$D34, VLOOKUP(H$4,'4. Billing Determinants'!$B$19:$N$41,3,0)/'4. Billing Determinants'!$D$41*$D34))))),0)</f>
        <v>0</v>
      </c>
      <c r="I34" s="75">
        <f>IFERROR(IF(I$4="",0,IF($E34="kWh",VLOOKUP(I$4,'4. Billing Determinants'!$B$19:$N$41,4,0)/'4. Billing Determinants'!$E$41*$D34,IF($E34="kW",VLOOKUP(I$4,'4. Billing Determinants'!$B$19:$N$41,5,0)/'4. Billing Determinants'!$F$41*$D34,IF($E34="Non-RPP kWh",VLOOKUP(I$4,'4. Billing Determinants'!$B$19:$N$41,6,0)/'4. Billing Determinants'!$G$41*$D34,IF($E34="Distribution Rev.",VLOOKUP(I$4,'4. Billing Determinants'!$B$19:$N$41,8,0)/'4. Billing Determinants'!$I$41*$D34, VLOOKUP(I$4,'4. Billing Determinants'!$B$19:$N$41,3,0)/'4. Billing Determinants'!$D$41*$D34))))),0)</f>
        <v>0</v>
      </c>
      <c r="J34" s="75">
        <f>IFERROR(IF(J$4="",0,IF($E34="kWh",VLOOKUP(J$4,'4. Billing Determinants'!$B$19:$N$41,4,0)/'4. Billing Determinants'!$E$41*$D34,IF($E34="kW",VLOOKUP(J$4,'4. Billing Determinants'!$B$19:$N$41,5,0)/'4. Billing Determinants'!$F$41*$D34,IF($E34="Non-RPP kWh",VLOOKUP(J$4,'4. Billing Determinants'!$B$19:$N$41,6,0)/'4. Billing Determinants'!$G$41*$D34,IF($E34="Distribution Rev.",VLOOKUP(J$4,'4. Billing Determinants'!$B$19:$N$41,8,0)/'4. Billing Determinants'!$I$41*$D34, VLOOKUP(J$4,'4. Billing Determinants'!$B$19:$N$41,3,0)/'4. Billing Determinants'!$D$41*$D34))))),0)</f>
        <v>0</v>
      </c>
      <c r="K34" s="75">
        <f>IFERROR(IF(K$4="",0,IF($E34="kWh",VLOOKUP(K$4,'4. Billing Determinants'!$B$19:$N$41,4,0)/'4. Billing Determinants'!$E$41*$D34,IF($E34="kW",VLOOKUP(K$4,'4. Billing Determinants'!$B$19:$N$41,5,0)/'4. Billing Determinants'!$F$41*$D34,IF($E34="Non-RPP kWh",VLOOKUP(K$4,'4. Billing Determinants'!$B$19:$N$41,6,0)/'4. Billing Determinants'!$G$41*$D34,IF($E34="Distribution Rev.",VLOOKUP(K$4,'4. Billing Determinants'!$B$19:$N$41,8,0)/'4. Billing Determinants'!$I$41*$D34, VLOOKUP(K$4,'4. Billing Determinants'!$B$19:$N$41,3,0)/'4. Billing Determinants'!$D$41*$D34))))),0)</f>
        <v>0</v>
      </c>
      <c r="L34" s="75">
        <f>IFERROR(IF(L$4="",0,IF($E34="kWh",VLOOKUP(L$4,'4. Billing Determinants'!$B$19:$N$41,4,0)/'4. Billing Determinants'!$E$41*$D34,IF($E34="kW",VLOOKUP(L$4,'4. Billing Determinants'!$B$19:$N$41,5,0)/'4. Billing Determinants'!$F$41*$D34,IF($E34="Non-RPP kWh",VLOOKUP(L$4,'4. Billing Determinants'!$B$19:$N$41,6,0)/'4. Billing Determinants'!$G$41*$D34,IF($E34="Distribution Rev.",VLOOKUP(L$4,'4. Billing Determinants'!$B$19:$N$41,8,0)/'4. Billing Determinants'!$I$41*$D34, VLOOKUP(L$4,'4. Billing Determinants'!$B$19:$N$41,3,0)/'4. Billing Determinants'!$D$41*$D34))))),0)</f>
        <v>0</v>
      </c>
      <c r="M34" s="75">
        <f>IFERROR(IF(M$4="",0,IF($E34="kWh",VLOOKUP(M$4,'4. Billing Determinants'!$B$19:$N$41,4,0)/'4. Billing Determinants'!$E$41*$D34,IF($E34="kW",VLOOKUP(M$4,'4. Billing Determinants'!$B$19:$N$41,5,0)/'4. Billing Determinants'!$F$41*$D34,IF($E34="Non-RPP kWh",VLOOKUP(M$4,'4. Billing Determinants'!$B$19:$N$41,6,0)/'4. Billing Determinants'!$G$41*$D34,IF($E34="Distribution Rev.",VLOOKUP(M$4,'4. Billing Determinants'!$B$19:$N$41,8,0)/'4. Billing Determinants'!$I$41*$D34, VLOOKUP(M$4,'4. Billing Determinants'!$B$19:$N$41,3,0)/'4. Billing Determinants'!$D$41*$D34))))),0)</f>
        <v>0</v>
      </c>
      <c r="N34" s="75">
        <f>IFERROR(IF(N$4="",0,IF($E34="kWh",VLOOKUP(N$4,'4. Billing Determinants'!$B$19:$N$41,4,0)/'4. Billing Determinants'!$E$41*$D34,IF($E34="kW",VLOOKUP(N$4,'4. Billing Determinants'!$B$19:$N$41,5,0)/'4. Billing Determinants'!$F$41*$D34,IF($E34="Non-RPP kWh",VLOOKUP(N$4,'4. Billing Determinants'!$B$19:$N$41,6,0)/'4. Billing Determinants'!$G$41*$D34,IF($E34="Distribution Rev.",VLOOKUP(N$4,'4. Billing Determinants'!$B$19:$N$41,8,0)/'4. Billing Determinants'!$I$41*$D34, VLOOKUP(N$4,'4. Billing Determinants'!$B$19:$N$41,3,0)/'4. Billing Determinants'!$D$41*$D34))))),0)</f>
        <v>0</v>
      </c>
      <c r="O34" s="75">
        <f>IFERROR(IF(O$4="",0,IF($E34="kWh",VLOOKUP(O$4,'4. Billing Determinants'!$B$19:$N$41,4,0)/'4. Billing Determinants'!$E$41*$D34,IF($E34="kW",VLOOKUP(O$4,'4. Billing Determinants'!$B$19:$N$41,5,0)/'4. Billing Determinants'!$F$41*$D34,IF($E34="Non-RPP kWh",VLOOKUP(O$4,'4. Billing Determinants'!$B$19:$N$41,6,0)/'4. Billing Determinants'!$G$41*$D34,IF($E34="Distribution Rev.",VLOOKUP(O$4,'4. Billing Determinants'!$B$19:$N$41,8,0)/'4. Billing Determinants'!$I$41*$D34, VLOOKUP(O$4,'4. Billing Determinants'!$B$19:$N$41,3,0)/'4. Billing Determinants'!$D$41*$D34))))),0)</f>
        <v>0</v>
      </c>
      <c r="P34" s="75">
        <f>IFERROR(IF(P$4="",0,IF($E34="kWh",VLOOKUP(P$4,'4. Billing Determinants'!$B$19:$N$41,4,0)/'4. Billing Determinants'!$E$41*$D34,IF($E34="kW",VLOOKUP(P$4,'4. Billing Determinants'!$B$19:$N$41,5,0)/'4. Billing Determinants'!$F$41*$D34,IF($E34="Non-RPP kWh",VLOOKUP(P$4,'4. Billing Determinants'!$B$19:$N$41,6,0)/'4. Billing Determinants'!$G$41*$D34,IF($E34="Distribution Rev.",VLOOKUP(P$4,'4. Billing Determinants'!$B$19:$N$41,8,0)/'4. Billing Determinants'!$I$41*$D34, VLOOKUP(P$4,'4. Billing Determinants'!$B$19:$N$41,3,0)/'4. Billing Determinants'!$D$41*$D34))))),0)</f>
        <v>0</v>
      </c>
      <c r="Q34" s="75">
        <f>IFERROR(IF(Q$4="",0,IF($E34="kWh",VLOOKUP(Q$4,'4. Billing Determinants'!$B$19:$N$41,4,0)/'4. Billing Determinants'!$E$41*$D34,IF($E34="kW",VLOOKUP(Q$4,'4. Billing Determinants'!$B$19:$N$41,5,0)/'4. Billing Determinants'!$F$41*$D34,IF($E34="Non-RPP kWh",VLOOKUP(Q$4,'4. Billing Determinants'!$B$19:$N$41,6,0)/'4. Billing Determinants'!$G$41*$D34,IF($E34="Distribution Rev.",VLOOKUP(Q$4,'4. Billing Determinants'!$B$19:$N$41,8,0)/'4. Billing Determinants'!$I$41*$D34, VLOOKUP(Q$4,'4. Billing Determinants'!$B$19:$N$41,3,0)/'4. Billing Determinants'!$D$41*$D34))))),0)</f>
        <v>0</v>
      </c>
      <c r="R34" s="75">
        <f>IFERROR(IF(R$4="",0,IF($E34="kWh",VLOOKUP(R$4,'4. Billing Determinants'!$B$19:$N$41,4,0)/'4. Billing Determinants'!$E$41*$D34,IF($E34="kW",VLOOKUP(R$4,'4. Billing Determinants'!$B$19:$N$41,5,0)/'4. Billing Determinants'!$F$41*$D34,IF($E34="Non-RPP kWh",VLOOKUP(R$4,'4. Billing Determinants'!$B$19:$N$41,6,0)/'4. Billing Determinants'!$G$41*$D34,IF($E34="Distribution Rev.",VLOOKUP(R$4,'4. Billing Determinants'!$B$19:$N$41,8,0)/'4. Billing Determinants'!$I$41*$D34, VLOOKUP(R$4,'4. Billing Determinants'!$B$19:$N$41,3,0)/'4. Billing Determinants'!$D$41*$D34))))),0)</f>
        <v>0</v>
      </c>
      <c r="S34" s="75">
        <f>IFERROR(IF(S$4="",0,IF($E34="kWh",VLOOKUP(S$4,'4. Billing Determinants'!$B$19:$N$41,4,0)/'4. Billing Determinants'!$E$41*$D34,IF($E34="kW",VLOOKUP(S$4,'4. Billing Determinants'!$B$19:$N$41,5,0)/'4. Billing Determinants'!$F$41*$D34,IF($E34="Non-RPP kWh",VLOOKUP(S$4,'4. Billing Determinants'!$B$19:$N$41,6,0)/'4. Billing Determinants'!$G$41*$D34,IF($E34="Distribution Rev.",VLOOKUP(S$4,'4. Billing Determinants'!$B$19:$N$41,8,0)/'4. Billing Determinants'!$I$41*$D34, VLOOKUP(S$4,'4. Billing Determinants'!$B$19:$N$41,3,0)/'4. Billing Determinants'!$D$41*$D34))))),0)</f>
        <v>0</v>
      </c>
      <c r="T34" s="75">
        <f>IFERROR(IF(T$4="",0,IF($E34="kWh",VLOOKUP(T$4,'4. Billing Determinants'!$B$19:$N$41,4,0)/'4. Billing Determinants'!$E$41*$D34,IF($E34="kW",VLOOKUP(T$4,'4. Billing Determinants'!$B$19:$N$41,5,0)/'4. Billing Determinants'!$F$41*$D34,IF($E34="Non-RPP kWh",VLOOKUP(T$4,'4. Billing Determinants'!$B$19:$N$41,6,0)/'4. Billing Determinants'!$G$41*$D34,IF($E34="Distribution Rev.",VLOOKUP(T$4,'4. Billing Determinants'!$B$19:$N$41,8,0)/'4. Billing Determinants'!$I$41*$D34, VLOOKUP(T$4,'4. Billing Determinants'!$B$19:$N$41,3,0)/'4. Billing Determinants'!$D$41*$D34))))),0)</f>
        <v>0</v>
      </c>
      <c r="U34" s="75">
        <f>IFERROR(IF(U$4="",0,IF($E34="kWh",VLOOKUP(U$4,'4. Billing Determinants'!$B$19:$N$41,4,0)/'4. Billing Determinants'!$E$41*$D34,IF($E34="kW",VLOOKUP(U$4,'4. Billing Determinants'!$B$19:$N$41,5,0)/'4. Billing Determinants'!$F$41*$D34,IF($E34="Non-RPP kWh",VLOOKUP(U$4,'4. Billing Determinants'!$B$19:$N$41,6,0)/'4. Billing Determinants'!$G$41*$D34,IF($E34="Distribution Rev.",VLOOKUP(U$4,'4. Billing Determinants'!$B$19:$N$41,8,0)/'4. Billing Determinants'!$I$41*$D34, VLOOKUP(U$4,'4. Billing Determinants'!$B$19:$N$41,3,0)/'4. Billing Determinants'!$D$41*$D34))))),0)</f>
        <v>0</v>
      </c>
      <c r="V34" s="75">
        <f>IFERROR(IF(V$4="",0,IF($E34="kWh",VLOOKUP(V$4,'4. Billing Determinants'!$B$19:$N$41,4,0)/'4. Billing Determinants'!$E$41*$D34,IF($E34="kW",VLOOKUP(V$4,'4. Billing Determinants'!$B$19:$N$41,5,0)/'4. Billing Determinants'!$F$41*$D34,IF($E34="Non-RPP kWh",VLOOKUP(V$4,'4. Billing Determinants'!$B$19:$N$41,6,0)/'4. Billing Determinants'!$G$41*$D34,IF($E34="Distribution Rev.",VLOOKUP(V$4,'4. Billing Determinants'!$B$19:$N$41,8,0)/'4. Billing Determinants'!$I$41*$D34, VLOOKUP(V$4,'4. Billing Determinants'!$B$19:$N$41,3,0)/'4. Billing Determinants'!$D$41*$D34))))),0)</f>
        <v>0</v>
      </c>
      <c r="W34" s="75">
        <f>IFERROR(IF(W$4="",0,IF($E34="kWh",VLOOKUP(W$4,'4. Billing Determinants'!$B$19:$N$41,4,0)/'4. Billing Determinants'!$E$41*$D34,IF($E34="kW",VLOOKUP(W$4,'4. Billing Determinants'!$B$19:$N$41,5,0)/'4. Billing Determinants'!$F$41*$D34,IF($E34="Non-RPP kWh",VLOOKUP(W$4,'4. Billing Determinants'!$B$19:$N$41,6,0)/'4. Billing Determinants'!$G$41*$D34,IF($E34="Distribution Rev.",VLOOKUP(W$4,'4. Billing Determinants'!$B$19:$N$41,8,0)/'4. Billing Determinants'!$I$41*$D34, VLOOKUP(W$4,'4. Billing Determinants'!$B$19:$N$41,3,0)/'4. Billing Determinants'!$D$41*$D34))))),0)</f>
        <v>0</v>
      </c>
      <c r="X34" s="75">
        <f>IFERROR(IF(X$4="",0,IF($E34="kWh",VLOOKUP(X$4,'4. Billing Determinants'!$B$19:$N$41,4,0)/'4. Billing Determinants'!$E$41*$D34,IF($E34="kW",VLOOKUP(X$4,'4. Billing Determinants'!$B$19:$N$41,5,0)/'4. Billing Determinants'!$F$41*$D34,IF($E34="Non-RPP kWh",VLOOKUP(X$4,'4. Billing Determinants'!$B$19:$N$41,6,0)/'4. Billing Determinants'!$G$41*$D34,IF($E34="Distribution Rev.",VLOOKUP(X$4,'4. Billing Determinants'!$B$19:$N$41,8,0)/'4. Billing Determinants'!$I$41*$D34, VLOOKUP(X$4,'4. Billing Determinants'!$B$19:$N$41,3,0)/'4. Billing Determinants'!$D$41*$D34))))),0)</f>
        <v>0</v>
      </c>
      <c r="Y34" s="75">
        <f>IFERROR(IF(Y$4="",0,IF($E34="kWh",VLOOKUP(Y$4,'4. Billing Determinants'!$B$19:$N$41,4,0)/'4. Billing Determinants'!$E$41*$D34,IF($E34="kW",VLOOKUP(Y$4,'4. Billing Determinants'!$B$19:$N$41,5,0)/'4. Billing Determinants'!$F$41*$D34,IF($E34="Non-RPP kWh",VLOOKUP(Y$4,'4. Billing Determinants'!$B$19:$N$41,6,0)/'4. Billing Determinants'!$G$41*$D34,IF($E34="Distribution Rev.",VLOOKUP(Y$4,'4. Billing Determinants'!$B$19:$N$41,8,0)/'4. Billing Determinants'!$I$41*$D34, VLOOKUP(Y$4,'4. Billing Determinants'!$B$19:$N$41,3,0)/'4. Billing Determinants'!$D$41*$D34))))),0)</f>
        <v>0</v>
      </c>
    </row>
    <row r="35" spans="1:25" x14ac:dyDescent="0.2">
      <c r="B35" s="73" t="s">
        <v>18</v>
      </c>
      <c r="C35" s="74">
        <v>1572</v>
      </c>
      <c r="D35" s="75">
        <f>'2. 2013 Continuity Schedule'!CP58</f>
        <v>0</v>
      </c>
      <c r="E35" s="208"/>
      <c r="F35" s="75">
        <f>IFERROR(IF(F$4="",0,IF($E35="kWh",VLOOKUP(F$4,'4. Billing Determinants'!$B$19:$N$41,4,0)/'4. Billing Determinants'!$E$41*$D35,IF($E35="kW",VLOOKUP(F$4,'4. Billing Determinants'!$B$19:$N$41,5,0)/'4. Billing Determinants'!$F$41*$D35,IF($E35="Non-RPP kWh",VLOOKUP(F$4,'4. Billing Determinants'!$B$19:$N$41,6,0)/'4. Billing Determinants'!$G$41*$D35,IF($E35="Distribution Rev.",VLOOKUP(F$4,'4. Billing Determinants'!$B$19:$N$41,8,0)/'4. Billing Determinants'!$I$41*$D35, VLOOKUP(F$4,'4. Billing Determinants'!$B$19:$N$41,3,0)/'4. Billing Determinants'!$D$41*$D35))))),0)</f>
        <v>0</v>
      </c>
      <c r="G35" s="75">
        <f>IFERROR(IF(G$4="",0,IF($E35="kWh",VLOOKUP(G$4,'4. Billing Determinants'!$B$19:$N$41,4,0)/'4. Billing Determinants'!$E$41*$D35,IF($E35="kW",VLOOKUP(G$4,'4. Billing Determinants'!$B$19:$N$41,5,0)/'4. Billing Determinants'!$F$41*$D35,IF($E35="Non-RPP kWh",VLOOKUP(G$4,'4. Billing Determinants'!$B$19:$N$41,6,0)/'4. Billing Determinants'!$G$41*$D35,IF($E35="Distribution Rev.",VLOOKUP(G$4,'4. Billing Determinants'!$B$19:$N$41,8,0)/'4. Billing Determinants'!$I$41*$D35, VLOOKUP(G$4,'4. Billing Determinants'!$B$19:$N$41,3,0)/'4. Billing Determinants'!$D$41*$D35))))),0)</f>
        <v>0</v>
      </c>
      <c r="H35" s="75">
        <f>IFERROR(IF(H$4="",0,IF($E35="kWh",VLOOKUP(H$4,'4. Billing Determinants'!$B$19:$N$41,4,0)/'4. Billing Determinants'!$E$41*$D35,IF($E35="kW",VLOOKUP(H$4,'4. Billing Determinants'!$B$19:$N$41,5,0)/'4. Billing Determinants'!$F$41*$D35,IF($E35="Non-RPP kWh",VLOOKUP(H$4,'4. Billing Determinants'!$B$19:$N$41,6,0)/'4. Billing Determinants'!$G$41*$D35,IF($E35="Distribution Rev.",VLOOKUP(H$4,'4. Billing Determinants'!$B$19:$N$41,8,0)/'4. Billing Determinants'!$I$41*$D35, VLOOKUP(H$4,'4. Billing Determinants'!$B$19:$N$41,3,0)/'4. Billing Determinants'!$D$41*$D35))))),0)</f>
        <v>0</v>
      </c>
      <c r="I35" s="75">
        <f>IFERROR(IF(I$4="",0,IF($E35="kWh",VLOOKUP(I$4,'4. Billing Determinants'!$B$19:$N$41,4,0)/'4. Billing Determinants'!$E$41*$D35,IF($E35="kW",VLOOKUP(I$4,'4. Billing Determinants'!$B$19:$N$41,5,0)/'4. Billing Determinants'!$F$41*$D35,IF($E35="Non-RPP kWh",VLOOKUP(I$4,'4. Billing Determinants'!$B$19:$N$41,6,0)/'4. Billing Determinants'!$G$41*$D35,IF($E35="Distribution Rev.",VLOOKUP(I$4,'4. Billing Determinants'!$B$19:$N$41,8,0)/'4. Billing Determinants'!$I$41*$D35, VLOOKUP(I$4,'4. Billing Determinants'!$B$19:$N$41,3,0)/'4. Billing Determinants'!$D$41*$D35))))),0)</f>
        <v>0</v>
      </c>
      <c r="J35" s="75">
        <f>IFERROR(IF(J$4="",0,IF($E35="kWh",VLOOKUP(J$4,'4. Billing Determinants'!$B$19:$N$41,4,0)/'4. Billing Determinants'!$E$41*$D35,IF($E35="kW",VLOOKUP(J$4,'4. Billing Determinants'!$B$19:$N$41,5,0)/'4. Billing Determinants'!$F$41*$D35,IF($E35="Non-RPP kWh",VLOOKUP(J$4,'4. Billing Determinants'!$B$19:$N$41,6,0)/'4. Billing Determinants'!$G$41*$D35,IF($E35="Distribution Rev.",VLOOKUP(J$4,'4. Billing Determinants'!$B$19:$N$41,8,0)/'4. Billing Determinants'!$I$41*$D35, VLOOKUP(J$4,'4. Billing Determinants'!$B$19:$N$41,3,0)/'4. Billing Determinants'!$D$41*$D35))))),0)</f>
        <v>0</v>
      </c>
      <c r="K35" s="75">
        <f>IFERROR(IF(K$4="",0,IF($E35="kWh",VLOOKUP(K$4,'4. Billing Determinants'!$B$19:$N$41,4,0)/'4. Billing Determinants'!$E$41*$D35,IF($E35="kW",VLOOKUP(K$4,'4. Billing Determinants'!$B$19:$N$41,5,0)/'4. Billing Determinants'!$F$41*$D35,IF($E35="Non-RPP kWh",VLOOKUP(K$4,'4. Billing Determinants'!$B$19:$N$41,6,0)/'4. Billing Determinants'!$G$41*$D35,IF($E35="Distribution Rev.",VLOOKUP(K$4,'4. Billing Determinants'!$B$19:$N$41,8,0)/'4. Billing Determinants'!$I$41*$D35, VLOOKUP(K$4,'4. Billing Determinants'!$B$19:$N$41,3,0)/'4. Billing Determinants'!$D$41*$D35))))),0)</f>
        <v>0</v>
      </c>
      <c r="L35" s="75">
        <f>IFERROR(IF(L$4="",0,IF($E35="kWh",VLOOKUP(L$4,'4. Billing Determinants'!$B$19:$N$41,4,0)/'4. Billing Determinants'!$E$41*$D35,IF($E35="kW",VLOOKUP(L$4,'4. Billing Determinants'!$B$19:$N$41,5,0)/'4. Billing Determinants'!$F$41*$D35,IF($E35="Non-RPP kWh",VLOOKUP(L$4,'4. Billing Determinants'!$B$19:$N$41,6,0)/'4. Billing Determinants'!$G$41*$D35,IF($E35="Distribution Rev.",VLOOKUP(L$4,'4. Billing Determinants'!$B$19:$N$41,8,0)/'4. Billing Determinants'!$I$41*$D35, VLOOKUP(L$4,'4. Billing Determinants'!$B$19:$N$41,3,0)/'4. Billing Determinants'!$D$41*$D35))))),0)</f>
        <v>0</v>
      </c>
      <c r="M35" s="75">
        <f>IFERROR(IF(M$4="",0,IF($E35="kWh",VLOOKUP(M$4,'4. Billing Determinants'!$B$19:$N$41,4,0)/'4. Billing Determinants'!$E$41*$D35,IF($E35="kW",VLOOKUP(M$4,'4. Billing Determinants'!$B$19:$N$41,5,0)/'4. Billing Determinants'!$F$41*$D35,IF($E35="Non-RPP kWh",VLOOKUP(M$4,'4. Billing Determinants'!$B$19:$N$41,6,0)/'4. Billing Determinants'!$G$41*$D35,IF($E35="Distribution Rev.",VLOOKUP(M$4,'4. Billing Determinants'!$B$19:$N$41,8,0)/'4. Billing Determinants'!$I$41*$D35, VLOOKUP(M$4,'4. Billing Determinants'!$B$19:$N$41,3,0)/'4. Billing Determinants'!$D$41*$D35))))),0)</f>
        <v>0</v>
      </c>
      <c r="N35" s="75">
        <f>IFERROR(IF(N$4="",0,IF($E35="kWh",VLOOKUP(N$4,'4. Billing Determinants'!$B$19:$N$41,4,0)/'4. Billing Determinants'!$E$41*$D35,IF($E35="kW",VLOOKUP(N$4,'4. Billing Determinants'!$B$19:$N$41,5,0)/'4. Billing Determinants'!$F$41*$D35,IF($E35="Non-RPP kWh",VLOOKUP(N$4,'4. Billing Determinants'!$B$19:$N$41,6,0)/'4. Billing Determinants'!$G$41*$D35,IF($E35="Distribution Rev.",VLOOKUP(N$4,'4. Billing Determinants'!$B$19:$N$41,8,0)/'4. Billing Determinants'!$I$41*$D35, VLOOKUP(N$4,'4. Billing Determinants'!$B$19:$N$41,3,0)/'4. Billing Determinants'!$D$41*$D35))))),0)</f>
        <v>0</v>
      </c>
      <c r="O35" s="75">
        <f>IFERROR(IF(O$4="",0,IF($E35="kWh",VLOOKUP(O$4,'4. Billing Determinants'!$B$19:$N$41,4,0)/'4. Billing Determinants'!$E$41*$D35,IF($E35="kW",VLOOKUP(O$4,'4. Billing Determinants'!$B$19:$N$41,5,0)/'4. Billing Determinants'!$F$41*$D35,IF($E35="Non-RPP kWh",VLOOKUP(O$4,'4. Billing Determinants'!$B$19:$N$41,6,0)/'4. Billing Determinants'!$G$41*$D35,IF($E35="Distribution Rev.",VLOOKUP(O$4,'4. Billing Determinants'!$B$19:$N$41,8,0)/'4. Billing Determinants'!$I$41*$D35, VLOOKUP(O$4,'4. Billing Determinants'!$B$19:$N$41,3,0)/'4. Billing Determinants'!$D$41*$D35))))),0)</f>
        <v>0</v>
      </c>
      <c r="P35" s="75">
        <f>IFERROR(IF(P$4="",0,IF($E35="kWh",VLOOKUP(P$4,'4. Billing Determinants'!$B$19:$N$41,4,0)/'4. Billing Determinants'!$E$41*$D35,IF($E35="kW",VLOOKUP(P$4,'4. Billing Determinants'!$B$19:$N$41,5,0)/'4. Billing Determinants'!$F$41*$D35,IF($E35="Non-RPP kWh",VLOOKUP(P$4,'4. Billing Determinants'!$B$19:$N$41,6,0)/'4. Billing Determinants'!$G$41*$D35,IF($E35="Distribution Rev.",VLOOKUP(P$4,'4. Billing Determinants'!$B$19:$N$41,8,0)/'4. Billing Determinants'!$I$41*$D35, VLOOKUP(P$4,'4. Billing Determinants'!$B$19:$N$41,3,0)/'4. Billing Determinants'!$D$41*$D35))))),0)</f>
        <v>0</v>
      </c>
      <c r="Q35" s="75">
        <f>IFERROR(IF(Q$4="",0,IF($E35="kWh",VLOOKUP(Q$4,'4. Billing Determinants'!$B$19:$N$41,4,0)/'4. Billing Determinants'!$E$41*$D35,IF($E35="kW",VLOOKUP(Q$4,'4. Billing Determinants'!$B$19:$N$41,5,0)/'4. Billing Determinants'!$F$41*$D35,IF($E35="Non-RPP kWh",VLOOKUP(Q$4,'4. Billing Determinants'!$B$19:$N$41,6,0)/'4. Billing Determinants'!$G$41*$D35,IF($E35="Distribution Rev.",VLOOKUP(Q$4,'4. Billing Determinants'!$B$19:$N$41,8,0)/'4. Billing Determinants'!$I$41*$D35, VLOOKUP(Q$4,'4. Billing Determinants'!$B$19:$N$41,3,0)/'4. Billing Determinants'!$D$41*$D35))))),0)</f>
        <v>0</v>
      </c>
      <c r="R35" s="75">
        <f>IFERROR(IF(R$4="",0,IF($E35="kWh",VLOOKUP(R$4,'4. Billing Determinants'!$B$19:$N$41,4,0)/'4. Billing Determinants'!$E$41*$D35,IF($E35="kW",VLOOKUP(R$4,'4. Billing Determinants'!$B$19:$N$41,5,0)/'4. Billing Determinants'!$F$41*$D35,IF($E35="Non-RPP kWh",VLOOKUP(R$4,'4. Billing Determinants'!$B$19:$N$41,6,0)/'4. Billing Determinants'!$G$41*$D35,IF($E35="Distribution Rev.",VLOOKUP(R$4,'4. Billing Determinants'!$B$19:$N$41,8,0)/'4. Billing Determinants'!$I$41*$D35, VLOOKUP(R$4,'4. Billing Determinants'!$B$19:$N$41,3,0)/'4. Billing Determinants'!$D$41*$D35))))),0)</f>
        <v>0</v>
      </c>
      <c r="S35" s="75">
        <f>IFERROR(IF(S$4="",0,IF($E35="kWh",VLOOKUP(S$4,'4. Billing Determinants'!$B$19:$N$41,4,0)/'4. Billing Determinants'!$E$41*$D35,IF($E35="kW",VLOOKUP(S$4,'4. Billing Determinants'!$B$19:$N$41,5,0)/'4. Billing Determinants'!$F$41*$D35,IF($E35="Non-RPP kWh",VLOOKUP(S$4,'4. Billing Determinants'!$B$19:$N$41,6,0)/'4. Billing Determinants'!$G$41*$D35,IF($E35="Distribution Rev.",VLOOKUP(S$4,'4. Billing Determinants'!$B$19:$N$41,8,0)/'4. Billing Determinants'!$I$41*$D35, VLOOKUP(S$4,'4. Billing Determinants'!$B$19:$N$41,3,0)/'4. Billing Determinants'!$D$41*$D35))))),0)</f>
        <v>0</v>
      </c>
      <c r="T35" s="75">
        <f>IFERROR(IF(T$4="",0,IF($E35="kWh",VLOOKUP(T$4,'4. Billing Determinants'!$B$19:$N$41,4,0)/'4. Billing Determinants'!$E$41*$D35,IF($E35="kW",VLOOKUP(T$4,'4. Billing Determinants'!$B$19:$N$41,5,0)/'4. Billing Determinants'!$F$41*$D35,IF($E35="Non-RPP kWh",VLOOKUP(T$4,'4. Billing Determinants'!$B$19:$N$41,6,0)/'4. Billing Determinants'!$G$41*$D35,IF($E35="Distribution Rev.",VLOOKUP(T$4,'4. Billing Determinants'!$B$19:$N$41,8,0)/'4. Billing Determinants'!$I$41*$D35, VLOOKUP(T$4,'4. Billing Determinants'!$B$19:$N$41,3,0)/'4. Billing Determinants'!$D$41*$D35))))),0)</f>
        <v>0</v>
      </c>
      <c r="U35" s="75">
        <f>IFERROR(IF(U$4="",0,IF($E35="kWh",VLOOKUP(U$4,'4. Billing Determinants'!$B$19:$N$41,4,0)/'4. Billing Determinants'!$E$41*$D35,IF($E35="kW",VLOOKUP(U$4,'4. Billing Determinants'!$B$19:$N$41,5,0)/'4. Billing Determinants'!$F$41*$D35,IF($E35="Non-RPP kWh",VLOOKUP(U$4,'4. Billing Determinants'!$B$19:$N$41,6,0)/'4. Billing Determinants'!$G$41*$D35,IF($E35="Distribution Rev.",VLOOKUP(U$4,'4. Billing Determinants'!$B$19:$N$41,8,0)/'4. Billing Determinants'!$I$41*$D35, VLOOKUP(U$4,'4. Billing Determinants'!$B$19:$N$41,3,0)/'4. Billing Determinants'!$D$41*$D35))))),0)</f>
        <v>0</v>
      </c>
      <c r="V35" s="75">
        <f>IFERROR(IF(V$4="",0,IF($E35="kWh",VLOOKUP(V$4,'4. Billing Determinants'!$B$19:$N$41,4,0)/'4. Billing Determinants'!$E$41*$D35,IF($E35="kW",VLOOKUP(V$4,'4. Billing Determinants'!$B$19:$N$41,5,0)/'4. Billing Determinants'!$F$41*$D35,IF($E35="Non-RPP kWh",VLOOKUP(V$4,'4. Billing Determinants'!$B$19:$N$41,6,0)/'4. Billing Determinants'!$G$41*$D35,IF($E35="Distribution Rev.",VLOOKUP(V$4,'4. Billing Determinants'!$B$19:$N$41,8,0)/'4. Billing Determinants'!$I$41*$D35, VLOOKUP(V$4,'4. Billing Determinants'!$B$19:$N$41,3,0)/'4. Billing Determinants'!$D$41*$D35))))),0)</f>
        <v>0</v>
      </c>
      <c r="W35" s="75">
        <f>IFERROR(IF(W$4="",0,IF($E35="kWh",VLOOKUP(W$4,'4. Billing Determinants'!$B$19:$N$41,4,0)/'4. Billing Determinants'!$E$41*$D35,IF($E35="kW",VLOOKUP(W$4,'4. Billing Determinants'!$B$19:$N$41,5,0)/'4. Billing Determinants'!$F$41*$D35,IF($E35="Non-RPP kWh",VLOOKUP(W$4,'4. Billing Determinants'!$B$19:$N$41,6,0)/'4. Billing Determinants'!$G$41*$D35,IF($E35="Distribution Rev.",VLOOKUP(W$4,'4. Billing Determinants'!$B$19:$N$41,8,0)/'4. Billing Determinants'!$I$41*$D35, VLOOKUP(W$4,'4. Billing Determinants'!$B$19:$N$41,3,0)/'4. Billing Determinants'!$D$41*$D35))))),0)</f>
        <v>0</v>
      </c>
      <c r="X35" s="75">
        <f>IFERROR(IF(X$4="",0,IF($E35="kWh",VLOOKUP(X$4,'4. Billing Determinants'!$B$19:$N$41,4,0)/'4. Billing Determinants'!$E$41*$D35,IF($E35="kW",VLOOKUP(X$4,'4. Billing Determinants'!$B$19:$N$41,5,0)/'4. Billing Determinants'!$F$41*$D35,IF($E35="Non-RPP kWh",VLOOKUP(X$4,'4. Billing Determinants'!$B$19:$N$41,6,0)/'4. Billing Determinants'!$G$41*$D35,IF($E35="Distribution Rev.",VLOOKUP(X$4,'4. Billing Determinants'!$B$19:$N$41,8,0)/'4. Billing Determinants'!$I$41*$D35, VLOOKUP(X$4,'4. Billing Determinants'!$B$19:$N$41,3,0)/'4. Billing Determinants'!$D$41*$D35))))),0)</f>
        <v>0</v>
      </c>
      <c r="Y35" s="75">
        <f>IFERROR(IF(Y$4="",0,IF($E35="kWh",VLOOKUP(Y$4,'4. Billing Determinants'!$B$19:$N$41,4,0)/'4. Billing Determinants'!$E$41*$D35,IF($E35="kW",VLOOKUP(Y$4,'4. Billing Determinants'!$B$19:$N$41,5,0)/'4. Billing Determinants'!$F$41*$D35,IF($E35="Non-RPP kWh",VLOOKUP(Y$4,'4. Billing Determinants'!$B$19:$N$41,6,0)/'4. Billing Determinants'!$G$41*$D35,IF($E35="Distribution Rev.",VLOOKUP(Y$4,'4. Billing Determinants'!$B$19:$N$41,8,0)/'4. Billing Determinants'!$I$41*$D35, VLOOKUP(Y$4,'4. Billing Determinants'!$B$19:$N$41,3,0)/'4. Billing Determinants'!$D$41*$D35))))),0)</f>
        <v>0</v>
      </c>
    </row>
    <row r="36" spans="1:25" x14ac:dyDescent="0.2">
      <c r="B36" s="73" t="s">
        <v>6</v>
      </c>
      <c r="C36" s="74">
        <v>1574</v>
      </c>
      <c r="D36" s="75">
        <f>'2. 2013 Continuity Schedule'!CP59</f>
        <v>0</v>
      </c>
      <c r="E36" s="208"/>
      <c r="F36" s="75">
        <f>IFERROR(IF(F$4="",0,IF($E36="kWh",VLOOKUP(F$4,'4. Billing Determinants'!$B$19:$N$41,4,0)/'4. Billing Determinants'!$E$41*$D36,IF($E36="kW",VLOOKUP(F$4,'4. Billing Determinants'!$B$19:$N$41,5,0)/'4. Billing Determinants'!$F$41*$D36,IF($E36="Non-RPP kWh",VLOOKUP(F$4,'4. Billing Determinants'!$B$19:$N$41,6,0)/'4. Billing Determinants'!$G$41*$D36,IF($E36="Distribution Rev.",VLOOKUP(F$4,'4. Billing Determinants'!$B$19:$N$41,8,0)/'4. Billing Determinants'!$I$41*$D36, VLOOKUP(F$4,'4. Billing Determinants'!$B$19:$N$41,3,0)/'4. Billing Determinants'!$D$41*$D36))))),0)</f>
        <v>0</v>
      </c>
      <c r="G36" s="75">
        <f>IFERROR(IF(G$4="",0,IF($E36="kWh",VLOOKUP(G$4,'4. Billing Determinants'!$B$19:$N$41,4,0)/'4. Billing Determinants'!$E$41*$D36,IF($E36="kW",VLOOKUP(G$4,'4. Billing Determinants'!$B$19:$N$41,5,0)/'4. Billing Determinants'!$F$41*$D36,IF($E36="Non-RPP kWh",VLOOKUP(G$4,'4. Billing Determinants'!$B$19:$N$41,6,0)/'4. Billing Determinants'!$G$41*$D36,IF($E36="Distribution Rev.",VLOOKUP(G$4,'4. Billing Determinants'!$B$19:$N$41,8,0)/'4. Billing Determinants'!$I$41*$D36, VLOOKUP(G$4,'4. Billing Determinants'!$B$19:$N$41,3,0)/'4. Billing Determinants'!$D$41*$D36))))),0)</f>
        <v>0</v>
      </c>
      <c r="H36" s="75">
        <f>IFERROR(IF(H$4="",0,IF($E36="kWh",VLOOKUP(H$4,'4. Billing Determinants'!$B$19:$N$41,4,0)/'4. Billing Determinants'!$E$41*$D36,IF($E36="kW",VLOOKUP(H$4,'4. Billing Determinants'!$B$19:$N$41,5,0)/'4. Billing Determinants'!$F$41*$D36,IF($E36="Non-RPP kWh",VLOOKUP(H$4,'4. Billing Determinants'!$B$19:$N$41,6,0)/'4. Billing Determinants'!$G$41*$D36,IF($E36="Distribution Rev.",VLOOKUP(H$4,'4. Billing Determinants'!$B$19:$N$41,8,0)/'4. Billing Determinants'!$I$41*$D36, VLOOKUP(H$4,'4. Billing Determinants'!$B$19:$N$41,3,0)/'4. Billing Determinants'!$D$41*$D36))))),0)</f>
        <v>0</v>
      </c>
      <c r="I36" s="75">
        <f>IFERROR(IF(I$4="",0,IF($E36="kWh",VLOOKUP(I$4,'4. Billing Determinants'!$B$19:$N$41,4,0)/'4. Billing Determinants'!$E$41*$D36,IF($E36="kW",VLOOKUP(I$4,'4. Billing Determinants'!$B$19:$N$41,5,0)/'4. Billing Determinants'!$F$41*$D36,IF($E36="Non-RPP kWh",VLOOKUP(I$4,'4. Billing Determinants'!$B$19:$N$41,6,0)/'4. Billing Determinants'!$G$41*$D36,IF($E36="Distribution Rev.",VLOOKUP(I$4,'4. Billing Determinants'!$B$19:$N$41,8,0)/'4. Billing Determinants'!$I$41*$D36, VLOOKUP(I$4,'4. Billing Determinants'!$B$19:$N$41,3,0)/'4. Billing Determinants'!$D$41*$D36))))),0)</f>
        <v>0</v>
      </c>
      <c r="J36" s="75">
        <f>IFERROR(IF(J$4="",0,IF($E36="kWh",VLOOKUP(J$4,'4. Billing Determinants'!$B$19:$N$41,4,0)/'4. Billing Determinants'!$E$41*$D36,IF($E36="kW",VLOOKUP(J$4,'4. Billing Determinants'!$B$19:$N$41,5,0)/'4. Billing Determinants'!$F$41*$D36,IF($E36="Non-RPP kWh",VLOOKUP(J$4,'4. Billing Determinants'!$B$19:$N$41,6,0)/'4. Billing Determinants'!$G$41*$D36,IF($E36="Distribution Rev.",VLOOKUP(J$4,'4. Billing Determinants'!$B$19:$N$41,8,0)/'4. Billing Determinants'!$I$41*$D36, VLOOKUP(J$4,'4. Billing Determinants'!$B$19:$N$41,3,0)/'4. Billing Determinants'!$D$41*$D36))))),0)</f>
        <v>0</v>
      </c>
      <c r="K36" s="75">
        <f>IFERROR(IF(K$4="",0,IF($E36="kWh",VLOOKUP(K$4,'4. Billing Determinants'!$B$19:$N$41,4,0)/'4. Billing Determinants'!$E$41*$D36,IF($E36="kW",VLOOKUP(K$4,'4. Billing Determinants'!$B$19:$N$41,5,0)/'4. Billing Determinants'!$F$41*$D36,IF($E36="Non-RPP kWh",VLOOKUP(K$4,'4. Billing Determinants'!$B$19:$N$41,6,0)/'4. Billing Determinants'!$G$41*$D36,IF($E36="Distribution Rev.",VLOOKUP(K$4,'4. Billing Determinants'!$B$19:$N$41,8,0)/'4. Billing Determinants'!$I$41*$D36, VLOOKUP(K$4,'4. Billing Determinants'!$B$19:$N$41,3,0)/'4. Billing Determinants'!$D$41*$D36))))),0)</f>
        <v>0</v>
      </c>
      <c r="L36" s="75">
        <f>IFERROR(IF(L$4="",0,IF($E36="kWh",VLOOKUP(L$4,'4. Billing Determinants'!$B$19:$N$41,4,0)/'4. Billing Determinants'!$E$41*$D36,IF($E36="kW",VLOOKUP(L$4,'4. Billing Determinants'!$B$19:$N$41,5,0)/'4. Billing Determinants'!$F$41*$D36,IF($E36="Non-RPP kWh",VLOOKUP(L$4,'4. Billing Determinants'!$B$19:$N$41,6,0)/'4. Billing Determinants'!$G$41*$D36,IF($E36="Distribution Rev.",VLOOKUP(L$4,'4. Billing Determinants'!$B$19:$N$41,8,0)/'4. Billing Determinants'!$I$41*$D36, VLOOKUP(L$4,'4. Billing Determinants'!$B$19:$N$41,3,0)/'4. Billing Determinants'!$D$41*$D36))))),0)</f>
        <v>0</v>
      </c>
      <c r="M36" s="75">
        <f>IFERROR(IF(M$4="",0,IF($E36="kWh",VLOOKUP(M$4,'4. Billing Determinants'!$B$19:$N$41,4,0)/'4. Billing Determinants'!$E$41*$D36,IF($E36="kW",VLOOKUP(M$4,'4. Billing Determinants'!$B$19:$N$41,5,0)/'4. Billing Determinants'!$F$41*$D36,IF($E36="Non-RPP kWh",VLOOKUP(M$4,'4. Billing Determinants'!$B$19:$N$41,6,0)/'4. Billing Determinants'!$G$41*$D36,IF($E36="Distribution Rev.",VLOOKUP(M$4,'4. Billing Determinants'!$B$19:$N$41,8,0)/'4. Billing Determinants'!$I$41*$D36, VLOOKUP(M$4,'4. Billing Determinants'!$B$19:$N$41,3,0)/'4. Billing Determinants'!$D$41*$D36))))),0)</f>
        <v>0</v>
      </c>
      <c r="N36" s="75">
        <f>IFERROR(IF(N$4="",0,IF($E36="kWh",VLOOKUP(N$4,'4. Billing Determinants'!$B$19:$N$41,4,0)/'4. Billing Determinants'!$E$41*$D36,IF($E36="kW",VLOOKUP(N$4,'4. Billing Determinants'!$B$19:$N$41,5,0)/'4. Billing Determinants'!$F$41*$D36,IF($E36="Non-RPP kWh",VLOOKUP(N$4,'4. Billing Determinants'!$B$19:$N$41,6,0)/'4. Billing Determinants'!$G$41*$D36,IF($E36="Distribution Rev.",VLOOKUP(N$4,'4. Billing Determinants'!$B$19:$N$41,8,0)/'4. Billing Determinants'!$I$41*$D36, VLOOKUP(N$4,'4. Billing Determinants'!$B$19:$N$41,3,0)/'4. Billing Determinants'!$D$41*$D36))))),0)</f>
        <v>0</v>
      </c>
      <c r="O36" s="75">
        <f>IFERROR(IF(O$4="",0,IF($E36="kWh",VLOOKUP(O$4,'4. Billing Determinants'!$B$19:$N$41,4,0)/'4. Billing Determinants'!$E$41*$D36,IF($E36="kW",VLOOKUP(O$4,'4. Billing Determinants'!$B$19:$N$41,5,0)/'4. Billing Determinants'!$F$41*$D36,IF($E36="Non-RPP kWh",VLOOKUP(O$4,'4. Billing Determinants'!$B$19:$N$41,6,0)/'4. Billing Determinants'!$G$41*$D36,IF($E36="Distribution Rev.",VLOOKUP(O$4,'4. Billing Determinants'!$B$19:$N$41,8,0)/'4. Billing Determinants'!$I$41*$D36, VLOOKUP(O$4,'4. Billing Determinants'!$B$19:$N$41,3,0)/'4. Billing Determinants'!$D$41*$D36))))),0)</f>
        <v>0</v>
      </c>
      <c r="P36" s="75">
        <f>IFERROR(IF(P$4="",0,IF($E36="kWh",VLOOKUP(P$4,'4. Billing Determinants'!$B$19:$N$41,4,0)/'4. Billing Determinants'!$E$41*$D36,IF($E36="kW",VLOOKUP(P$4,'4. Billing Determinants'!$B$19:$N$41,5,0)/'4. Billing Determinants'!$F$41*$D36,IF($E36="Non-RPP kWh",VLOOKUP(P$4,'4. Billing Determinants'!$B$19:$N$41,6,0)/'4. Billing Determinants'!$G$41*$D36,IF($E36="Distribution Rev.",VLOOKUP(P$4,'4. Billing Determinants'!$B$19:$N$41,8,0)/'4. Billing Determinants'!$I$41*$D36, VLOOKUP(P$4,'4. Billing Determinants'!$B$19:$N$41,3,0)/'4. Billing Determinants'!$D$41*$D36))))),0)</f>
        <v>0</v>
      </c>
      <c r="Q36" s="75">
        <f>IFERROR(IF(Q$4="",0,IF($E36="kWh",VLOOKUP(Q$4,'4. Billing Determinants'!$B$19:$N$41,4,0)/'4. Billing Determinants'!$E$41*$D36,IF($E36="kW",VLOOKUP(Q$4,'4. Billing Determinants'!$B$19:$N$41,5,0)/'4. Billing Determinants'!$F$41*$D36,IF($E36="Non-RPP kWh",VLOOKUP(Q$4,'4. Billing Determinants'!$B$19:$N$41,6,0)/'4. Billing Determinants'!$G$41*$D36,IF($E36="Distribution Rev.",VLOOKUP(Q$4,'4. Billing Determinants'!$B$19:$N$41,8,0)/'4. Billing Determinants'!$I$41*$D36, VLOOKUP(Q$4,'4. Billing Determinants'!$B$19:$N$41,3,0)/'4. Billing Determinants'!$D$41*$D36))))),0)</f>
        <v>0</v>
      </c>
      <c r="R36" s="75">
        <f>IFERROR(IF(R$4="",0,IF($E36="kWh",VLOOKUP(R$4,'4. Billing Determinants'!$B$19:$N$41,4,0)/'4. Billing Determinants'!$E$41*$D36,IF($E36="kW",VLOOKUP(R$4,'4. Billing Determinants'!$B$19:$N$41,5,0)/'4. Billing Determinants'!$F$41*$D36,IF($E36="Non-RPP kWh",VLOOKUP(R$4,'4. Billing Determinants'!$B$19:$N$41,6,0)/'4. Billing Determinants'!$G$41*$D36,IF($E36="Distribution Rev.",VLOOKUP(R$4,'4. Billing Determinants'!$B$19:$N$41,8,0)/'4. Billing Determinants'!$I$41*$D36, VLOOKUP(R$4,'4. Billing Determinants'!$B$19:$N$41,3,0)/'4. Billing Determinants'!$D$41*$D36))))),0)</f>
        <v>0</v>
      </c>
      <c r="S36" s="75">
        <f>IFERROR(IF(S$4="",0,IF($E36="kWh",VLOOKUP(S$4,'4. Billing Determinants'!$B$19:$N$41,4,0)/'4. Billing Determinants'!$E$41*$D36,IF($E36="kW",VLOOKUP(S$4,'4. Billing Determinants'!$B$19:$N$41,5,0)/'4. Billing Determinants'!$F$41*$D36,IF($E36="Non-RPP kWh",VLOOKUP(S$4,'4. Billing Determinants'!$B$19:$N$41,6,0)/'4. Billing Determinants'!$G$41*$D36,IF($E36="Distribution Rev.",VLOOKUP(S$4,'4. Billing Determinants'!$B$19:$N$41,8,0)/'4. Billing Determinants'!$I$41*$D36, VLOOKUP(S$4,'4. Billing Determinants'!$B$19:$N$41,3,0)/'4. Billing Determinants'!$D$41*$D36))))),0)</f>
        <v>0</v>
      </c>
      <c r="T36" s="75">
        <f>IFERROR(IF(T$4="",0,IF($E36="kWh",VLOOKUP(T$4,'4. Billing Determinants'!$B$19:$N$41,4,0)/'4. Billing Determinants'!$E$41*$D36,IF($E36="kW",VLOOKUP(T$4,'4. Billing Determinants'!$B$19:$N$41,5,0)/'4. Billing Determinants'!$F$41*$D36,IF($E36="Non-RPP kWh",VLOOKUP(T$4,'4. Billing Determinants'!$B$19:$N$41,6,0)/'4. Billing Determinants'!$G$41*$D36,IF($E36="Distribution Rev.",VLOOKUP(T$4,'4. Billing Determinants'!$B$19:$N$41,8,0)/'4. Billing Determinants'!$I$41*$D36, VLOOKUP(T$4,'4. Billing Determinants'!$B$19:$N$41,3,0)/'4. Billing Determinants'!$D$41*$D36))))),0)</f>
        <v>0</v>
      </c>
      <c r="U36" s="75">
        <f>IFERROR(IF(U$4="",0,IF($E36="kWh",VLOOKUP(U$4,'4. Billing Determinants'!$B$19:$N$41,4,0)/'4. Billing Determinants'!$E$41*$D36,IF($E36="kW",VLOOKUP(U$4,'4. Billing Determinants'!$B$19:$N$41,5,0)/'4. Billing Determinants'!$F$41*$D36,IF($E36="Non-RPP kWh",VLOOKUP(U$4,'4. Billing Determinants'!$B$19:$N$41,6,0)/'4. Billing Determinants'!$G$41*$D36,IF($E36="Distribution Rev.",VLOOKUP(U$4,'4. Billing Determinants'!$B$19:$N$41,8,0)/'4. Billing Determinants'!$I$41*$D36, VLOOKUP(U$4,'4. Billing Determinants'!$B$19:$N$41,3,0)/'4. Billing Determinants'!$D$41*$D36))))),0)</f>
        <v>0</v>
      </c>
      <c r="V36" s="75">
        <f>IFERROR(IF(V$4="",0,IF($E36="kWh",VLOOKUP(V$4,'4. Billing Determinants'!$B$19:$N$41,4,0)/'4. Billing Determinants'!$E$41*$D36,IF($E36="kW",VLOOKUP(V$4,'4. Billing Determinants'!$B$19:$N$41,5,0)/'4. Billing Determinants'!$F$41*$D36,IF($E36="Non-RPP kWh",VLOOKUP(V$4,'4. Billing Determinants'!$B$19:$N$41,6,0)/'4. Billing Determinants'!$G$41*$D36,IF($E36="Distribution Rev.",VLOOKUP(V$4,'4. Billing Determinants'!$B$19:$N$41,8,0)/'4. Billing Determinants'!$I$41*$D36, VLOOKUP(V$4,'4. Billing Determinants'!$B$19:$N$41,3,0)/'4. Billing Determinants'!$D$41*$D36))))),0)</f>
        <v>0</v>
      </c>
      <c r="W36" s="75">
        <f>IFERROR(IF(W$4="",0,IF($E36="kWh",VLOOKUP(W$4,'4. Billing Determinants'!$B$19:$N$41,4,0)/'4. Billing Determinants'!$E$41*$D36,IF($E36="kW",VLOOKUP(W$4,'4. Billing Determinants'!$B$19:$N$41,5,0)/'4. Billing Determinants'!$F$41*$D36,IF($E36="Non-RPP kWh",VLOOKUP(W$4,'4. Billing Determinants'!$B$19:$N$41,6,0)/'4. Billing Determinants'!$G$41*$D36,IF($E36="Distribution Rev.",VLOOKUP(W$4,'4. Billing Determinants'!$B$19:$N$41,8,0)/'4. Billing Determinants'!$I$41*$D36, VLOOKUP(W$4,'4. Billing Determinants'!$B$19:$N$41,3,0)/'4. Billing Determinants'!$D$41*$D36))))),0)</f>
        <v>0</v>
      </c>
      <c r="X36" s="75">
        <f>IFERROR(IF(X$4="",0,IF($E36="kWh",VLOOKUP(X$4,'4. Billing Determinants'!$B$19:$N$41,4,0)/'4. Billing Determinants'!$E$41*$D36,IF($E36="kW",VLOOKUP(X$4,'4. Billing Determinants'!$B$19:$N$41,5,0)/'4. Billing Determinants'!$F$41*$D36,IF($E36="Non-RPP kWh",VLOOKUP(X$4,'4. Billing Determinants'!$B$19:$N$41,6,0)/'4. Billing Determinants'!$G$41*$D36,IF($E36="Distribution Rev.",VLOOKUP(X$4,'4. Billing Determinants'!$B$19:$N$41,8,0)/'4. Billing Determinants'!$I$41*$D36, VLOOKUP(X$4,'4. Billing Determinants'!$B$19:$N$41,3,0)/'4. Billing Determinants'!$D$41*$D36))))),0)</f>
        <v>0</v>
      </c>
      <c r="Y36" s="75">
        <f>IFERROR(IF(Y$4="",0,IF($E36="kWh",VLOOKUP(Y$4,'4. Billing Determinants'!$B$19:$N$41,4,0)/'4. Billing Determinants'!$E$41*$D36,IF($E36="kW",VLOOKUP(Y$4,'4. Billing Determinants'!$B$19:$N$41,5,0)/'4. Billing Determinants'!$F$41*$D36,IF($E36="Non-RPP kWh",VLOOKUP(Y$4,'4. Billing Determinants'!$B$19:$N$41,6,0)/'4. Billing Determinants'!$G$41*$D36,IF($E36="Distribution Rev.",VLOOKUP(Y$4,'4. Billing Determinants'!$B$19:$N$41,8,0)/'4. Billing Determinants'!$I$41*$D36, VLOOKUP(Y$4,'4. Billing Determinants'!$B$19:$N$41,3,0)/'4. Billing Determinants'!$D$41*$D36))))),0)</f>
        <v>0</v>
      </c>
    </row>
    <row r="37" spans="1:25" x14ac:dyDescent="0.2">
      <c r="B37" s="76" t="s">
        <v>63</v>
      </c>
      <c r="C37" s="74">
        <v>1582</v>
      </c>
      <c r="D37" s="75">
        <f>'2. 2013 Continuity Schedule'!CP60</f>
        <v>0</v>
      </c>
      <c r="E37" s="208"/>
      <c r="F37" s="75">
        <f>IFERROR(IF(F$4="",0,IF($E37="kWh",VLOOKUP(F$4,'4. Billing Determinants'!$B$19:$N$41,4,0)/'4. Billing Determinants'!$E$41*$D37,IF($E37="kW",VLOOKUP(F$4,'4. Billing Determinants'!$B$19:$N$41,5,0)/'4. Billing Determinants'!$F$41*$D37,IF($E37="Non-RPP kWh",VLOOKUP(F$4,'4. Billing Determinants'!$B$19:$N$41,6,0)/'4. Billing Determinants'!$G$41*$D37,IF($E37="Distribution Rev.",VLOOKUP(F$4,'4. Billing Determinants'!$B$19:$N$41,8,0)/'4. Billing Determinants'!$I$41*$D37, VLOOKUP(F$4,'4. Billing Determinants'!$B$19:$N$41,3,0)/'4. Billing Determinants'!$D$41*$D37))))),0)</f>
        <v>0</v>
      </c>
      <c r="G37" s="75">
        <f>IFERROR(IF(G$4="",0,IF($E37="kWh",VLOOKUP(G$4,'4. Billing Determinants'!$B$19:$N$41,4,0)/'4. Billing Determinants'!$E$41*$D37,IF($E37="kW",VLOOKUP(G$4,'4. Billing Determinants'!$B$19:$N$41,5,0)/'4. Billing Determinants'!$F$41*$D37,IF($E37="Non-RPP kWh",VLOOKUP(G$4,'4. Billing Determinants'!$B$19:$N$41,6,0)/'4. Billing Determinants'!$G$41*$D37,IF($E37="Distribution Rev.",VLOOKUP(G$4,'4. Billing Determinants'!$B$19:$N$41,8,0)/'4. Billing Determinants'!$I$41*$D37, VLOOKUP(G$4,'4. Billing Determinants'!$B$19:$N$41,3,0)/'4. Billing Determinants'!$D$41*$D37))))),0)</f>
        <v>0</v>
      </c>
      <c r="H37" s="75">
        <f>IFERROR(IF(H$4="",0,IF($E37="kWh",VLOOKUP(H$4,'4. Billing Determinants'!$B$19:$N$41,4,0)/'4. Billing Determinants'!$E$41*$D37,IF($E37="kW",VLOOKUP(H$4,'4. Billing Determinants'!$B$19:$N$41,5,0)/'4. Billing Determinants'!$F$41*$D37,IF($E37="Non-RPP kWh",VLOOKUP(H$4,'4. Billing Determinants'!$B$19:$N$41,6,0)/'4. Billing Determinants'!$G$41*$D37,IF($E37="Distribution Rev.",VLOOKUP(H$4,'4. Billing Determinants'!$B$19:$N$41,8,0)/'4. Billing Determinants'!$I$41*$D37, VLOOKUP(H$4,'4. Billing Determinants'!$B$19:$N$41,3,0)/'4. Billing Determinants'!$D$41*$D37))))),0)</f>
        <v>0</v>
      </c>
      <c r="I37" s="75">
        <f>IFERROR(IF(I$4="",0,IF($E37="kWh",VLOOKUP(I$4,'4. Billing Determinants'!$B$19:$N$41,4,0)/'4. Billing Determinants'!$E$41*$D37,IF($E37="kW",VLOOKUP(I$4,'4. Billing Determinants'!$B$19:$N$41,5,0)/'4. Billing Determinants'!$F$41*$D37,IF($E37="Non-RPP kWh",VLOOKUP(I$4,'4. Billing Determinants'!$B$19:$N$41,6,0)/'4. Billing Determinants'!$G$41*$D37,IF($E37="Distribution Rev.",VLOOKUP(I$4,'4. Billing Determinants'!$B$19:$N$41,8,0)/'4. Billing Determinants'!$I$41*$D37, VLOOKUP(I$4,'4. Billing Determinants'!$B$19:$N$41,3,0)/'4. Billing Determinants'!$D$41*$D37))))),0)</f>
        <v>0</v>
      </c>
      <c r="J37" s="75">
        <f>IFERROR(IF(J$4="",0,IF($E37="kWh",VLOOKUP(J$4,'4. Billing Determinants'!$B$19:$N$41,4,0)/'4. Billing Determinants'!$E$41*$D37,IF($E37="kW",VLOOKUP(J$4,'4. Billing Determinants'!$B$19:$N$41,5,0)/'4. Billing Determinants'!$F$41*$D37,IF($E37="Non-RPP kWh",VLOOKUP(J$4,'4. Billing Determinants'!$B$19:$N$41,6,0)/'4. Billing Determinants'!$G$41*$D37,IF($E37="Distribution Rev.",VLOOKUP(J$4,'4. Billing Determinants'!$B$19:$N$41,8,0)/'4. Billing Determinants'!$I$41*$D37, VLOOKUP(J$4,'4. Billing Determinants'!$B$19:$N$41,3,0)/'4. Billing Determinants'!$D$41*$D37))))),0)</f>
        <v>0</v>
      </c>
      <c r="K37" s="75">
        <f>IFERROR(IF(K$4="",0,IF($E37="kWh",VLOOKUP(K$4,'4. Billing Determinants'!$B$19:$N$41,4,0)/'4. Billing Determinants'!$E$41*$D37,IF($E37="kW",VLOOKUP(K$4,'4. Billing Determinants'!$B$19:$N$41,5,0)/'4. Billing Determinants'!$F$41*$D37,IF($E37="Non-RPP kWh",VLOOKUP(K$4,'4. Billing Determinants'!$B$19:$N$41,6,0)/'4. Billing Determinants'!$G$41*$D37,IF($E37="Distribution Rev.",VLOOKUP(K$4,'4. Billing Determinants'!$B$19:$N$41,8,0)/'4. Billing Determinants'!$I$41*$D37, VLOOKUP(K$4,'4. Billing Determinants'!$B$19:$N$41,3,0)/'4. Billing Determinants'!$D$41*$D37))))),0)</f>
        <v>0</v>
      </c>
      <c r="L37" s="75">
        <f>IFERROR(IF(L$4="",0,IF($E37="kWh",VLOOKUP(L$4,'4. Billing Determinants'!$B$19:$N$41,4,0)/'4. Billing Determinants'!$E$41*$D37,IF($E37="kW",VLOOKUP(L$4,'4. Billing Determinants'!$B$19:$N$41,5,0)/'4. Billing Determinants'!$F$41*$D37,IF($E37="Non-RPP kWh",VLOOKUP(L$4,'4. Billing Determinants'!$B$19:$N$41,6,0)/'4. Billing Determinants'!$G$41*$D37,IF($E37="Distribution Rev.",VLOOKUP(L$4,'4. Billing Determinants'!$B$19:$N$41,8,0)/'4. Billing Determinants'!$I$41*$D37, VLOOKUP(L$4,'4. Billing Determinants'!$B$19:$N$41,3,0)/'4. Billing Determinants'!$D$41*$D37))))),0)</f>
        <v>0</v>
      </c>
      <c r="M37" s="75">
        <f>IFERROR(IF(M$4="",0,IF($E37="kWh",VLOOKUP(M$4,'4. Billing Determinants'!$B$19:$N$41,4,0)/'4. Billing Determinants'!$E$41*$D37,IF($E37="kW",VLOOKUP(M$4,'4. Billing Determinants'!$B$19:$N$41,5,0)/'4. Billing Determinants'!$F$41*$D37,IF($E37="Non-RPP kWh",VLOOKUP(M$4,'4. Billing Determinants'!$B$19:$N$41,6,0)/'4. Billing Determinants'!$G$41*$D37,IF($E37="Distribution Rev.",VLOOKUP(M$4,'4. Billing Determinants'!$B$19:$N$41,8,0)/'4. Billing Determinants'!$I$41*$D37, VLOOKUP(M$4,'4. Billing Determinants'!$B$19:$N$41,3,0)/'4. Billing Determinants'!$D$41*$D37))))),0)</f>
        <v>0</v>
      </c>
      <c r="N37" s="75">
        <f>IFERROR(IF(N$4="",0,IF($E37="kWh",VLOOKUP(N$4,'4. Billing Determinants'!$B$19:$N$41,4,0)/'4. Billing Determinants'!$E$41*$D37,IF($E37="kW",VLOOKUP(N$4,'4. Billing Determinants'!$B$19:$N$41,5,0)/'4. Billing Determinants'!$F$41*$D37,IF($E37="Non-RPP kWh",VLOOKUP(N$4,'4. Billing Determinants'!$B$19:$N$41,6,0)/'4. Billing Determinants'!$G$41*$D37,IF($E37="Distribution Rev.",VLOOKUP(N$4,'4. Billing Determinants'!$B$19:$N$41,8,0)/'4. Billing Determinants'!$I$41*$D37, VLOOKUP(N$4,'4. Billing Determinants'!$B$19:$N$41,3,0)/'4. Billing Determinants'!$D$41*$D37))))),0)</f>
        <v>0</v>
      </c>
      <c r="O37" s="75">
        <f>IFERROR(IF(O$4="",0,IF($E37="kWh",VLOOKUP(O$4,'4. Billing Determinants'!$B$19:$N$41,4,0)/'4. Billing Determinants'!$E$41*$D37,IF($E37="kW",VLOOKUP(O$4,'4. Billing Determinants'!$B$19:$N$41,5,0)/'4. Billing Determinants'!$F$41*$D37,IF($E37="Non-RPP kWh",VLOOKUP(O$4,'4. Billing Determinants'!$B$19:$N$41,6,0)/'4. Billing Determinants'!$G$41*$D37,IF($E37="Distribution Rev.",VLOOKUP(O$4,'4. Billing Determinants'!$B$19:$N$41,8,0)/'4. Billing Determinants'!$I$41*$D37, VLOOKUP(O$4,'4. Billing Determinants'!$B$19:$N$41,3,0)/'4. Billing Determinants'!$D$41*$D37))))),0)</f>
        <v>0</v>
      </c>
      <c r="P37" s="75">
        <f>IFERROR(IF(P$4="",0,IF($E37="kWh",VLOOKUP(P$4,'4. Billing Determinants'!$B$19:$N$41,4,0)/'4. Billing Determinants'!$E$41*$D37,IF($E37="kW",VLOOKUP(P$4,'4. Billing Determinants'!$B$19:$N$41,5,0)/'4. Billing Determinants'!$F$41*$D37,IF($E37="Non-RPP kWh",VLOOKUP(P$4,'4. Billing Determinants'!$B$19:$N$41,6,0)/'4. Billing Determinants'!$G$41*$D37,IF($E37="Distribution Rev.",VLOOKUP(P$4,'4. Billing Determinants'!$B$19:$N$41,8,0)/'4. Billing Determinants'!$I$41*$D37, VLOOKUP(P$4,'4. Billing Determinants'!$B$19:$N$41,3,0)/'4. Billing Determinants'!$D$41*$D37))))),0)</f>
        <v>0</v>
      </c>
      <c r="Q37" s="75">
        <f>IFERROR(IF(Q$4="",0,IF($E37="kWh",VLOOKUP(Q$4,'4. Billing Determinants'!$B$19:$N$41,4,0)/'4. Billing Determinants'!$E$41*$D37,IF($E37="kW",VLOOKUP(Q$4,'4. Billing Determinants'!$B$19:$N$41,5,0)/'4. Billing Determinants'!$F$41*$D37,IF($E37="Non-RPP kWh",VLOOKUP(Q$4,'4. Billing Determinants'!$B$19:$N$41,6,0)/'4. Billing Determinants'!$G$41*$D37,IF($E37="Distribution Rev.",VLOOKUP(Q$4,'4. Billing Determinants'!$B$19:$N$41,8,0)/'4. Billing Determinants'!$I$41*$D37, VLOOKUP(Q$4,'4. Billing Determinants'!$B$19:$N$41,3,0)/'4. Billing Determinants'!$D$41*$D37))))),0)</f>
        <v>0</v>
      </c>
      <c r="R37" s="75">
        <f>IFERROR(IF(R$4="",0,IF($E37="kWh",VLOOKUP(R$4,'4. Billing Determinants'!$B$19:$N$41,4,0)/'4. Billing Determinants'!$E$41*$D37,IF($E37="kW",VLOOKUP(R$4,'4. Billing Determinants'!$B$19:$N$41,5,0)/'4. Billing Determinants'!$F$41*$D37,IF($E37="Non-RPP kWh",VLOOKUP(R$4,'4. Billing Determinants'!$B$19:$N$41,6,0)/'4. Billing Determinants'!$G$41*$D37,IF($E37="Distribution Rev.",VLOOKUP(R$4,'4. Billing Determinants'!$B$19:$N$41,8,0)/'4. Billing Determinants'!$I$41*$D37, VLOOKUP(R$4,'4. Billing Determinants'!$B$19:$N$41,3,0)/'4. Billing Determinants'!$D$41*$D37))))),0)</f>
        <v>0</v>
      </c>
      <c r="S37" s="75">
        <f>IFERROR(IF(S$4="",0,IF($E37="kWh",VLOOKUP(S$4,'4. Billing Determinants'!$B$19:$N$41,4,0)/'4. Billing Determinants'!$E$41*$D37,IF($E37="kW",VLOOKUP(S$4,'4. Billing Determinants'!$B$19:$N$41,5,0)/'4. Billing Determinants'!$F$41*$D37,IF($E37="Non-RPP kWh",VLOOKUP(S$4,'4. Billing Determinants'!$B$19:$N$41,6,0)/'4. Billing Determinants'!$G$41*$D37,IF($E37="Distribution Rev.",VLOOKUP(S$4,'4. Billing Determinants'!$B$19:$N$41,8,0)/'4. Billing Determinants'!$I$41*$D37, VLOOKUP(S$4,'4. Billing Determinants'!$B$19:$N$41,3,0)/'4. Billing Determinants'!$D$41*$D37))))),0)</f>
        <v>0</v>
      </c>
      <c r="T37" s="75">
        <f>IFERROR(IF(T$4="",0,IF($E37="kWh",VLOOKUP(T$4,'4. Billing Determinants'!$B$19:$N$41,4,0)/'4. Billing Determinants'!$E$41*$D37,IF($E37="kW",VLOOKUP(T$4,'4. Billing Determinants'!$B$19:$N$41,5,0)/'4. Billing Determinants'!$F$41*$D37,IF($E37="Non-RPP kWh",VLOOKUP(T$4,'4. Billing Determinants'!$B$19:$N$41,6,0)/'4. Billing Determinants'!$G$41*$D37,IF($E37="Distribution Rev.",VLOOKUP(T$4,'4. Billing Determinants'!$B$19:$N$41,8,0)/'4. Billing Determinants'!$I$41*$D37, VLOOKUP(T$4,'4. Billing Determinants'!$B$19:$N$41,3,0)/'4. Billing Determinants'!$D$41*$D37))))),0)</f>
        <v>0</v>
      </c>
      <c r="U37" s="75">
        <f>IFERROR(IF(U$4="",0,IF($E37="kWh",VLOOKUP(U$4,'4. Billing Determinants'!$B$19:$N$41,4,0)/'4. Billing Determinants'!$E$41*$D37,IF($E37="kW",VLOOKUP(U$4,'4. Billing Determinants'!$B$19:$N$41,5,0)/'4. Billing Determinants'!$F$41*$D37,IF($E37="Non-RPP kWh",VLOOKUP(U$4,'4. Billing Determinants'!$B$19:$N$41,6,0)/'4. Billing Determinants'!$G$41*$D37,IF($E37="Distribution Rev.",VLOOKUP(U$4,'4. Billing Determinants'!$B$19:$N$41,8,0)/'4. Billing Determinants'!$I$41*$D37, VLOOKUP(U$4,'4. Billing Determinants'!$B$19:$N$41,3,0)/'4. Billing Determinants'!$D$41*$D37))))),0)</f>
        <v>0</v>
      </c>
      <c r="V37" s="75">
        <f>IFERROR(IF(V$4="",0,IF($E37="kWh",VLOOKUP(V$4,'4. Billing Determinants'!$B$19:$N$41,4,0)/'4. Billing Determinants'!$E$41*$D37,IF($E37="kW",VLOOKUP(V$4,'4. Billing Determinants'!$B$19:$N$41,5,0)/'4. Billing Determinants'!$F$41*$D37,IF($E37="Non-RPP kWh",VLOOKUP(V$4,'4. Billing Determinants'!$B$19:$N$41,6,0)/'4. Billing Determinants'!$G$41*$D37,IF($E37="Distribution Rev.",VLOOKUP(V$4,'4. Billing Determinants'!$B$19:$N$41,8,0)/'4. Billing Determinants'!$I$41*$D37, VLOOKUP(V$4,'4. Billing Determinants'!$B$19:$N$41,3,0)/'4. Billing Determinants'!$D$41*$D37))))),0)</f>
        <v>0</v>
      </c>
      <c r="W37" s="75">
        <f>IFERROR(IF(W$4="",0,IF($E37="kWh",VLOOKUP(W$4,'4. Billing Determinants'!$B$19:$N$41,4,0)/'4. Billing Determinants'!$E$41*$D37,IF($E37="kW",VLOOKUP(W$4,'4. Billing Determinants'!$B$19:$N$41,5,0)/'4. Billing Determinants'!$F$41*$D37,IF($E37="Non-RPP kWh",VLOOKUP(W$4,'4. Billing Determinants'!$B$19:$N$41,6,0)/'4. Billing Determinants'!$G$41*$D37,IF($E37="Distribution Rev.",VLOOKUP(W$4,'4. Billing Determinants'!$B$19:$N$41,8,0)/'4. Billing Determinants'!$I$41*$D37, VLOOKUP(W$4,'4. Billing Determinants'!$B$19:$N$41,3,0)/'4. Billing Determinants'!$D$41*$D37))))),0)</f>
        <v>0</v>
      </c>
      <c r="X37" s="75">
        <f>IFERROR(IF(X$4="",0,IF($E37="kWh",VLOOKUP(X$4,'4. Billing Determinants'!$B$19:$N$41,4,0)/'4. Billing Determinants'!$E$41*$D37,IF($E37="kW",VLOOKUP(X$4,'4. Billing Determinants'!$B$19:$N$41,5,0)/'4. Billing Determinants'!$F$41*$D37,IF($E37="Non-RPP kWh",VLOOKUP(X$4,'4. Billing Determinants'!$B$19:$N$41,6,0)/'4. Billing Determinants'!$G$41*$D37,IF($E37="Distribution Rev.",VLOOKUP(X$4,'4. Billing Determinants'!$B$19:$N$41,8,0)/'4. Billing Determinants'!$I$41*$D37, VLOOKUP(X$4,'4. Billing Determinants'!$B$19:$N$41,3,0)/'4. Billing Determinants'!$D$41*$D37))))),0)</f>
        <v>0</v>
      </c>
      <c r="Y37" s="75">
        <f>IFERROR(IF(Y$4="",0,IF($E37="kWh",VLOOKUP(Y$4,'4. Billing Determinants'!$B$19:$N$41,4,0)/'4. Billing Determinants'!$E$41*$D37,IF($E37="kW",VLOOKUP(Y$4,'4. Billing Determinants'!$B$19:$N$41,5,0)/'4. Billing Determinants'!$F$41*$D37,IF($E37="Non-RPP kWh",VLOOKUP(Y$4,'4. Billing Determinants'!$B$19:$N$41,6,0)/'4. Billing Determinants'!$G$41*$D37,IF($E37="Distribution Rev.",VLOOKUP(Y$4,'4. Billing Determinants'!$B$19:$N$41,8,0)/'4. Billing Determinants'!$I$41*$D37, VLOOKUP(Y$4,'4. Billing Determinants'!$B$19:$N$41,3,0)/'4. Billing Determinants'!$D$41*$D37))))),0)</f>
        <v>0</v>
      </c>
    </row>
    <row r="38" spans="1:25" x14ac:dyDescent="0.2">
      <c r="B38" s="73" t="s">
        <v>7</v>
      </c>
      <c r="C38" s="74">
        <v>2425</v>
      </c>
      <c r="D38" s="75">
        <f>'2. 2013 Continuity Schedule'!CP61</f>
        <v>0</v>
      </c>
      <c r="E38" s="208"/>
      <c r="F38" s="75">
        <f>IFERROR(IF(F$4="",0,IF($E38="kWh",VLOOKUP(F$4,'4. Billing Determinants'!$B$19:$N$41,4,0)/'4. Billing Determinants'!$E$41*$D38,IF($E38="kW",VLOOKUP(F$4,'4. Billing Determinants'!$B$19:$N$41,5,0)/'4. Billing Determinants'!$F$41*$D38,IF($E38="Non-RPP kWh",VLOOKUP(F$4,'4. Billing Determinants'!$B$19:$N$41,6,0)/'4. Billing Determinants'!$G$41*$D38,IF($E38="Distribution Rev.",VLOOKUP(F$4,'4. Billing Determinants'!$B$19:$N$41,8,0)/'4. Billing Determinants'!$I$41*$D38, VLOOKUP(F$4,'4. Billing Determinants'!$B$19:$N$41,3,0)/'4. Billing Determinants'!$D$41*$D38))))),0)</f>
        <v>0</v>
      </c>
      <c r="G38" s="75">
        <f>IFERROR(IF(G$4="",0,IF($E38="kWh",VLOOKUP(G$4,'4. Billing Determinants'!$B$19:$N$41,4,0)/'4. Billing Determinants'!$E$41*$D38,IF($E38="kW",VLOOKUP(G$4,'4. Billing Determinants'!$B$19:$N$41,5,0)/'4. Billing Determinants'!$F$41*$D38,IF($E38="Non-RPP kWh",VLOOKUP(G$4,'4. Billing Determinants'!$B$19:$N$41,6,0)/'4. Billing Determinants'!$G$41*$D38,IF($E38="Distribution Rev.",VLOOKUP(G$4,'4. Billing Determinants'!$B$19:$N$41,8,0)/'4. Billing Determinants'!$I$41*$D38, VLOOKUP(G$4,'4. Billing Determinants'!$B$19:$N$41,3,0)/'4. Billing Determinants'!$D$41*$D38))))),0)</f>
        <v>0</v>
      </c>
      <c r="H38" s="75">
        <f>IFERROR(IF(H$4="",0,IF($E38="kWh",VLOOKUP(H$4,'4. Billing Determinants'!$B$19:$N$41,4,0)/'4. Billing Determinants'!$E$41*$D38,IF($E38="kW",VLOOKUP(H$4,'4. Billing Determinants'!$B$19:$N$41,5,0)/'4. Billing Determinants'!$F$41*$D38,IF($E38="Non-RPP kWh",VLOOKUP(H$4,'4. Billing Determinants'!$B$19:$N$41,6,0)/'4. Billing Determinants'!$G$41*$D38,IF($E38="Distribution Rev.",VLOOKUP(H$4,'4. Billing Determinants'!$B$19:$N$41,8,0)/'4. Billing Determinants'!$I$41*$D38, VLOOKUP(H$4,'4. Billing Determinants'!$B$19:$N$41,3,0)/'4. Billing Determinants'!$D$41*$D38))))),0)</f>
        <v>0</v>
      </c>
      <c r="I38" s="75">
        <f>IFERROR(IF(I$4="",0,IF($E38="kWh",VLOOKUP(I$4,'4. Billing Determinants'!$B$19:$N$41,4,0)/'4. Billing Determinants'!$E$41*$D38,IF($E38="kW",VLOOKUP(I$4,'4. Billing Determinants'!$B$19:$N$41,5,0)/'4. Billing Determinants'!$F$41*$D38,IF($E38="Non-RPP kWh",VLOOKUP(I$4,'4. Billing Determinants'!$B$19:$N$41,6,0)/'4. Billing Determinants'!$G$41*$D38,IF($E38="Distribution Rev.",VLOOKUP(I$4,'4. Billing Determinants'!$B$19:$N$41,8,0)/'4. Billing Determinants'!$I$41*$D38, VLOOKUP(I$4,'4. Billing Determinants'!$B$19:$N$41,3,0)/'4. Billing Determinants'!$D$41*$D38))))),0)</f>
        <v>0</v>
      </c>
      <c r="J38" s="75">
        <f>IFERROR(IF(J$4="",0,IF($E38="kWh",VLOOKUP(J$4,'4. Billing Determinants'!$B$19:$N$41,4,0)/'4. Billing Determinants'!$E$41*$D38,IF($E38="kW",VLOOKUP(J$4,'4. Billing Determinants'!$B$19:$N$41,5,0)/'4. Billing Determinants'!$F$41*$D38,IF($E38="Non-RPP kWh",VLOOKUP(J$4,'4. Billing Determinants'!$B$19:$N$41,6,0)/'4. Billing Determinants'!$G$41*$D38,IF($E38="Distribution Rev.",VLOOKUP(J$4,'4. Billing Determinants'!$B$19:$N$41,8,0)/'4. Billing Determinants'!$I$41*$D38, VLOOKUP(J$4,'4. Billing Determinants'!$B$19:$N$41,3,0)/'4. Billing Determinants'!$D$41*$D38))))),0)</f>
        <v>0</v>
      </c>
      <c r="K38" s="75">
        <f>IFERROR(IF(K$4="",0,IF($E38="kWh",VLOOKUP(K$4,'4. Billing Determinants'!$B$19:$N$41,4,0)/'4. Billing Determinants'!$E$41*$D38,IF($E38="kW",VLOOKUP(K$4,'4. Billing Determinants'!$B$19:$N$41,5,0)/'4. Billing Determinants'!$F$41*$D38,IF($E38="Non-RPP kWh",VLOOKUP(K$4,'4. Billing Determinants'!$B$19:$N$41,6,0)/'4. Billing Determinants'!$G$41*$D38,IF($E38="Distribution Rev.",VLOOKUP(K$4,'4. Billing Determinants'!$B$19:$N$41,8,0)/'4. Billing Determinants'!$I$41*$D38, VLOOKUP(K$4,'4. Billing Determinants'!$B$19:$N$41,3,0)/'4. Billing Determinants'!$D$41*$D38))))),0)</f>
        <v>0</v>
      </c>
      <c r="L38" s="75">
        <f>IFERROR(IF(L$4="",0,IF($E38="kWh",VLOOKUP(L$4,'4. Billing Determinants'!$B$19:$N$41,4,0)/'4. Billing Determinants'!$E$41*$D38,IF($E38="kW",VLOOKUP(L$4,'4. Billing Determinants'!$B$19:$N$41,5,0)/'4. Billing Determinants'!$F$41*$D38,IF($E38="Non-RPP kWh",VLOOKUP(L$4,'4. Billing Determinants'!$B$19:$N$41,6,0)/'4. Billing Determinants'!$G$41*$D38,IF($E38="Distribution Rev.",VLOOKUP(L$4,'4. Billing Determinants'!$B$19:$N$41,8,0)/'4. Billing Determinants'!$I$41*$D38, VLOOKUP(L$4,'4. Billing Determinants'!$B$19:$N$41,3,0)/'4. Billing Determinants'!$D$41*$D38))))),0)</f>
        <v>0</v>
      </c>
      <c r="M38" s="75">
        <f>IFERROR(IF(M$4="",0,IF($E38="kWh",VLOOKUP(M$4,'4. Billing Determinants'!$B$19:$N$41,4,0)/'4. Billing Determinants'!$E$41*$D38,IF($E38="kW",VLOOKUP(M$4,'4. Billing Determinants'!$B$19:$N$41,5,0)/'4. Billing Determinants'!$F$41*$D38,IF($E38="Non-RPP kWh",VLOOKUP(M$4,'4. Billing Determinants'!$B$19:$N$41,6,0)/'4. Billing Determinants'!$G$41*$D38,IF($E38="Distribution Rev.",VLOOKUP(M$4,'4. Billing Determinants'!$B$19:$N$41,8,0)/'4. Billing Determinants'!$I$41*$D38, VLOOKUP(M$4,'4. Billing Determinants'!$B$19:$N$41,3,0)/'4. Billing Determinants'!$D$41*$D38))))),0)</f>
        <v>0</v>
      </c>
      <c r="N38" s="75">
        <f>IFERROR(IF(N$4="",0,IF($E38="kWh",VLOOKUP(N$4,'4. Billing Determinants'!$B$19:$N$41,4,0)/'4. Billing Determinants'!$E$41*$D38,IF($E38="kW",VLOOKUP(N$4,'4. Billing Determinants'!$B$19:$N$41,5,0)/'4. Billing Determinants'!$F$41*$D38,IF($E38="Non-RPP kWh",VLOOKUP(N$4,'4. Billing Determinants'!$B$19:$N$41,6,0)/'4. Billing Determinants'!$G$41*$D38,IF($E38="Distribution Rev.",VLOOKUP(N$4,'4. Billing Determinants'!$B$19:$N$41,8,0)/'4. Billing Determinants'!$I$41*$D38, VLOOKUP(N$4,'4. Billing Determinants'!$B$19:$N$41,3,0)/'4. Billing Determinants'!$D$41*$D38))))),0)</f>
        <v>0</v>
      </c>
      <c r="O38" s="75">
        <f>IFERROR(IF(O$4="",0,IF($E38="kWh",VLOOKUP(O$4,'4. Billing Determinants'!$B$19:$N$41,4,0)/'4. Billing Determinants'!$E$41*$D38,IF($E38="kW",VLOOKUP(O$4,'4. Billing Determinants'!$B$19:$N$41,5,0)/'4. Billing Determinants'!$F$41*$D38,IF($E38="Non-RPP kWh",VLOOKUP(O$4,'4. Billing Determinants'!$B$19:$N$41,6,0)/'4. Billing Determinants'!$G$41*$D38,IF($E38="Distribution Rev.",VLOOKUP(O$4,'4. Billing Determinants'!$B$19:$N$41,8,0)/'4. Billing Determinants'!$I$41*$D38, VLOOKUP(O$4,'4. Billing Determinants'!$B$19:$N$41,3,0)/'4. Billing Determinants'!$D$41*$D38))))),0)</f>
        <v>0</v>
      </c>
      <c r="P38" s="75">
        <f>IFERROR(IF(P$4="",0,IF($E38="kWh",VLOOKUP(P$4,'4. Billing Determinants'!$B$19:$N$41,4,0)/'4. Billing Determinants'!$E$41*$D38,IF($E38="kW",VLOOKUP(P$4,'4. Billing Determinants'!$B$19:$N$41,5,0)/'4. Billing Determinants'!$F$41*$D38,IF($E38="Non-RPP kWh",VLOOKUP(P$4,'4. Billing Determinants'!$B$19:$N$41,6,0)/'4. Billing Determinants'!$G$41*$D38,IF($E38="Distribution Rev.",VLOOKUP(P$4,'4. Billing Determinants'!$B$19:$N$41,8,0)/'4. Billing Determinants'!$I$41*$D38, VLOOKUP(P$4,'4. Billing Determinants'!$B$19:$N$41,3,0)/'4. Billing Determinants'!$D$41*$D38))))),0)</f>
        <v>0</v>
      </c>
      <c r="Q38" s="75">
        <f>IFERROR(IF(Q$4="",0,IF($E38="kWh",VLOOKUP(Q$4,'4. Billing Determinants'!$B$19:$N$41,4,0)/'4. Billing Determinants'!$E$41*$D38,IF($E38="kW",VLOOKUP(Q$4,'4. Billing Determinants'!$B$19:$N$41,5,0)/'4. Billing Determinants'!$F$41*$D38,IF($E38="Non-RPP kWh",VLOOKUP(Q$4,'4. Billing Determinants'!$B$19:$N$41,6,0)/'4. Billing Determinants'!$G$41*$D38,IF($E38="Distribution Rev.",VLOOKUP(Q$4,'4. Billing Determinants'!$B$19:$N$41,8,0)/'4. Billing Determinants'!$I$41*$D38, VLOOKUP(Q$4,'4. Billing Determinants'!$B$19:$N$41,3,0)/'4. Billing Determinants'!$D$41*$D38))))),0)</f>
        <v>0</v>
      </c>
      <c r="R38" s="75">
        <f>IFERROR(IF(R$4="",0,IF($E38="kWh",VLOOKUP(R$4,'4. Billing Determinants'!$B$19:$N$41,4,0)/'4. Billing Determinants'!$E$41*$D38,IF($E38="kW",VLOOKUP(R$4,'4. Billing Determinants'!$B$19:$N$41,5,0)/'4. Billing Determinants'!$F$41*$D38,IF($E38="Non-RPP kWh",VLOOKUP(R$4,'4. Billing Determinants'!$B$19:$N$41,6,0)/'4. Billing Determinants'!$G$41*$D38,IF($E38="Distribution Rev.",VLOOKUP(R$4,'4. Billing Determinants'!$B$19:$N$41,8,0)/'4. Billing Determinants'!$I$41*$D38, VLOOKUP(R$4,'4. Billing Determinants'!$B$19:$N$41,3,0)/'4. Billing Determinants'!$D$41*$D38))))),0)</f>
        <v>0</v>
      </c>
      <c r="S38" s="75">
        <f>IFERROR(IF(S$4="",0,IF($E38="kWh",VLOOKUP(S$4,'4. Billing Determinants'!$B$19:$N$41,4,0)/'4. Billing Determinants'!$E$41*$D38,IF($E38="kW",VLOOKUP(S$4,'4. Billing Determinants'!$B$19:$N$41,5,0)/'4. Billing Determinants'!$F$41*$D38,IF($E38="Non-RPP kWh",VLOOKUP(S$4,'4. Billing Determinants'!$B$19:$N$41,6,0)/'4. Billing Determinants'!$G$41*$D38,IF($E38="Distribution Rev.",VLOOKUP(S$4,'4. Billing Determinants'!$B$19:$N$41,8,0)/'4. Billing Determinants'!$I$41*$D38, VLOOKUP(S$4,'4. Billing Determinants'!$B$19:$N$41,3,0)/'4. Billing Determinants'!$D$41*$D38))))),0)</f>
        <v>0</v>
      </c>
      <c r="T38" s="75">
        <f>IFERROR(IF(T$4="",0,IF($E38="kWh",VLOOKUP(T$4,'4. Billing Determinants'!$B$19:$N$41,4,0)/'4. Billing Determinants'!$E$41*$D38,IF($E38="kW",VLOOKUP(T$4,'4. Billing Determinants'!$B$19:$N$41,5,0)/'4. Billing Determinants'!$F$41*$D38,IF($E38="Non-RPP kWh",VLOOKUP(T$4,'4. Billing Determinants'!$B$19:$N$41,6,0)/'4. Billing Determinants'!$G$41*$D38,IF($E38="Distribution Rev.",VLOOKUP(T$4,'4. Billing Determinants'!$B$19:$N$41,8,0)/'4. Billing Determinants'!$I$41*$D38, VLOOKUP(T$4,'4. Billing Determinants'!$B$19:$N$41,3,0)/'4. Billing Determinants'!$D$41*$D38))))),0)</f>
        <v>0</v>
      </c>
      <c r="U38" s="75">
        <f>IFERROR(IF(U$4="",0,IF($E38="kWh",VLOOKUP(U$4,'4. Billing Determinants'!$B$19:$N$41,4,0)/'4. Billing Determinants'!$E$41*$D38,IF($E38="kW",VLOOKUP(U$4,'4. Billing Determinants'!$B$19:$N$41,5,0)/'4. Billing Determinants'!$F$41*$D38,IF($E38="Non-RPP kWh",VLOOKUP(U$4,'4. Billing Determinants'!$B$19:$N$41,6,0)/'4. Billing Determinants'!$G$41*$D38,IF($E38="Distribution Rev.",VLOOKUP(U$4,'4. Billing Determinants'!$B$19:$N$41,8,0)/'4. Billing Determinants'!$I$41*$D38, VLOOKUP(U$4,'4. Billing Determinants'!$B$19:$N$41,3,0)/'4. Billing Determinants'!$D$41*$D38))))),0)</f>
        <v>0</v>
      </c>
      <c r="V38" s="75">
        <f>IFERROR(IF(V$4="",0,IF($E38="kWh",VLOOKUP(V$4,'4. Billing Determinants'!$B$19:$N$41,4,0)/'4. Billing Determinants'!$E$41*$D38,IF($E38="kW",VLOOKUP(V$4,'4. Billing Determinants'!$B$19:$N$41,5,0)/'4. Billing Determinants'!$F$41*$D38,IF($E38="Non-RPP kWh",VLOOKUP(V$4,'4. Billing Determinants'!$B$19:$N$41,6,0)/'4. Billing Determinants'!$G$41*$D38,IF($E38="Distribution Rev.",VLOOKUP(V$4,'4. Billing Determinants'!$B$19:$N$41,8,0)/'4. Billing Determinants'!$I$41*$D38, VLOOKUP(V$4,'4. Billing Determinants'!$B$19:$N$41,3,0)/'4. Billing Determinants'!$D$41*$D38))))),0)</f>
        <v>0</v>
      </c>
      <c r="W38" s="75">
        <f>IFERROR(IF(W$4="",0,IF($E38="kWh",VLOOKUP(W$4,'4. Billing Determinants'!$B$19:$N$41,4,0)/'4. Billing Determinants'!$E$41*$D38,IF($E38="kW",VLOOKUP(W$4,'4. Billing Determinants'!$B$19:$N$41,5,0)/'4. Billing Determinants'!$F$41*$D38,IF($E38="Non-RPP kWh",VLOOKUP(W$4,'4. Billing Determinants'!$B$19:$N$41,6,0)/'4. Billing Determinants'!$G$41*$D38,IF($E38="Distribution Rev.",VLOOKUP(W$4,'4. Billing Determinants'!$B$19:$N$41,8,0)/'4. Billing Determinants'!$I$41*$D38, VLOOKUP(W$4,'4. Billing Determinants'!$B$19:$N$41,3,0)/'4. Billing Determinants'!$D$41*$D38))))),0)</f>
        <v>0</v>
      </c>
      <c r="X38" s="75">
        <f>IFERROR(IF(X$4="",0,IF($E38="kWh",VLOOKUP(X$4,'4. Billing Determinants'!$B$19:$N$41,4,0)/'4. Billing Determinants'!$E$41*$D38,IF($E38="kW",VLOOKUP(X$4,'4. Billing Determinants'!$B$19:$N$41,5,0)/'4. Billing Determinants'!$F$41*$D38,IF($E38="Non-RPP kWh",VLOOKUP(X$4,'4. Billing Determinants'!$B$19:$N$41,6,0)/'4. Billing Determinants'!$G$41*$D38,IF($E38="Distribution Rev.",VLOOKUP(X$4,'4. Billing Determinants'!$B$19:$N$41,8,0)/'4. Billing Determinants'!$I$41*$D38, VLOOKUP(X$4,'4. Billing Determinants'!$B$19:$N$41,3,0)/'4. Billing Determinants'!$D$41*$D38))))),0)</f>
        <v>0</v>
      </c>
      <c r="Y38" s="75">
        <f>IFERROR(IF(Y$4="",0,IF($E38="kWh",VLOOKUP(Y$4,'4. Billing Determinants'!$B$19:$N$41,4,0)/'4. Billing Determinants'!$E$41*$D38,IF($E38="kW",VLOOKUP(Y$4,'4. Billing Determinants'!$B$19:$N$41,5,0)/'4. Billing Determinants'!$F$41*$D38,IF($E38="Non-RPP kWh",VLOOKUP(Y$4,'4. Billing Determinants'!$B$19:$N$41,6,0)/'4. Billing Determinants'!$G$41*$D38,IF($E38="Distribution Rev.",VLOOKUP(Y$4,'4. Billing Determinants'!$B$19:$N$41,8,0)/'4. Billing Determinants'!$I$41*$D38, VLOOKUP(Y$4,'4. Billing Determinants'!$B$19:$N$41,3,0)/'4. Billing Determinants'!$D$41*$D38))))),0)</f>
        <v>0</v>
      </c>
    </row>
    <row r="39" spans="1:25" s="61" customFormat="1" x14ac:dyDescent="0.2">
      <c r="A39" s="60"/>
      <c r="B39" s="93" t="s">
        <v>156</v>
      </c>
      <c r="C39" s="95"/>
      <c r="D39" s="94">
        <f>SUM(D18:D38)</f>
        <v>343884.6</v>
      </c>
      <c r="E39" s="95"/>
      <c r="F39" s="94">
        <f>SUM(F18:F38)</f>
        <v>294609.62023014604</v>
      </c>
      <c r="G39" s="94">
        <f t="shared" ref="G39:Y39" si="1">SUM(G18:G38)</f>
        <v>37101.867900191377</v>
      </c>
      <c r="H39" s="94">
        <f t="shared" si="1"/>
        <v>3228.1900517777644</v>
      </c>
      <c r="I39" s="94">
        <f t="shared" si="1"/>
        <v>7711.7499536523646</v>
      </c>
      <c r="J39" s="94">
        <f t="shared" si="1"/>
        <v>191.08360668860431</v>
      </c>
      <c r="K39" s="94">
        <f t="shared" si="1"/>
        <v>1042.0882575438309</v>
      </c>
      <c r="L39" s="94">
        <f t="shared" si="1"/>
        <v>0</v>
      </c>
      <c r="M39" s="94">
        <f t="shared" si="1"/>
        <v>0</v>
      </c>
      <c r="N39" s="94">
        <f t="shared" si="1"/>
        <v>0</v>
      </c>
      <c r="O39" s="94">
        <f t="shared" si="1"/>
        <v>0</v>
      </c>
      <c r="P39" s="94">
        <f t="shared" si="1"/>
        <v>0</v>
      </c>
      <c r="Q39" s="94">
        <f t="shared" si="1"/>
        <v>0</v>
      </c>
      <c r="R39" s="94">
        <f t="shared" si="1"/>
        <v>0</v>
      </c>
      <c r="S39" s="94">
        <f t="shared" si="1"/>
        <v>0</v>
      </c>
      <c r="T39" s="94">
        <f t="shared" si="1"/>
        <v>0</v>
      </c>
      <c r="U39" s="94">
        <f t="shared" si="1"/>
        <v>0</v>
      </c>
      <c r="V39" s="94">
        <f t="shared" si="1"/>
        <v>0</v>
      </c>
      <c r="W39" s="94">
        <f t="shared" si="1"/>
        <v>0</v>
      </c>
      <c r="X39" s="94">
        <f t="shared" si="1"/>
        <v>0</v>
      </c>
      <c r="Y39" s="94">
        <f t="shared" si="1"/>
        <v>0</v>
      </c>
    </row>
    <row r="40" spans="1:25" s="81" customFormat="1" x14ac:dyDescent="0.2">
      <c r="B40" s="82"/>
      <c r="C40" s="83"/>
      <c r="D40" s="84"/>
      <c r="E40" s="89"/>
      <c r="F40" s="84"/>
      <c r="G40" s="84"/>
      <c r="H40" s="84"/>
      <c r="I40" s="84"/>
      <c r="J40" s="84"/>
      <c r="K40" s="84"/>
      <c r="L40" s="84"/>
      <c r="M40" s="84"/>
      <c r="N40" s="84"/>
      <c r="O40" s="84"/>
      <c r="P40" s="84"/>
      <c r="Q40" s="84"/>
      <c r="R40" s="84"/>
      <c r="S40" s="84"/>
      <c r="T40" s="84"/>
      <c r="U40" s="84"/>
      <c r="V40" s="84"/>
      <c r="W40" s="84"/>
      <c r="X40" s="84"/>
      <c r="Y40" s="84"/>
    </row>
    <row r="41" spans="1:25" x14ac:dyDescent="0.2">
      <c r="B41" s="90" t="s">
        <v>16</v>
      </c>
      <c r="C41" s="88">
        <v>1562</v>
      </c>
      <c r="D41" s="75">
        <f>'2. 2013 Continuity Schedule'!CP65</f>
        <v>0</v>
      </c>
      <c r="E41" s="208"/>
      <c r="F41" s="75">
        <f>IFERROR(IF(F$4="",0,IF($E41="kWh",VLOOKUP(F$4,'4. Billing Determinants'!$B$19:$N$41,4,0)/'4. Billing Determinants'!$E$41*$D41,IF($E41="kW",VLOOKUP(F$4,'4. Billing Determinants'!$B$19:$N$41,5,0)/'4. Billing Determinants'!$F$41*$D41,IF($E41="Non-RPP kWh",VLOOKUP(F$4,'4. Billing Determinants'!$B$19:$N$41,6,0)/'4. Billing Determinants'!$G$41*$D41,IF($E41="Distribution Rev.",VLOOKUP(F$4,'4. Billing Determinants'!$B$19:$N$41,8,0)/'4. Billing Determinants'!$I$41*$D41, VLOOKUP(F$4,'4. Billing Determinants'!$B$19:$N$41,3,0)/'4. Billing Determinants'!$D$41*$D41))))),0)</f>
        <v>0</v>
      </c>
      <c r="G41" s="75">
        <f>IFERROR(IF(G$4="",0,IF($E41="kWh",VLOOKUP(G$4,'4. Billing Determinants'!$B$19:$N$41,4,0)/'4. Billing Determinants'!$E$41*$D41,IF($E41="kW",VLOOKUP(G$4,'4. Billing Determinants'!$B$19:$N$41,5,0)/'4. Billing Determinants'!$F$41*$D41,IF($E41="Non-RPP kWh",VLOOKUP(G$4,'4. Billing Determinants'!$B$19:$N$41,6,0)/'4. Billing Determinants'!$G$41*$D41,IF($E41="Distribution Rev.",VLOOKUP(G$4,'4. Billing Determinants'!$B$19:$N$41,8,0)/'4. Billing Determinants'!$I$41*$D41, VLOOKUP(G$4,'4. Billing Determinants'!$B$19:$N$41,3,0)/'4. Billing Determinants'!$D$41*$D41))))),0)</f>
        <v>0</v>
      </c>
      <c r="H41" s="75">
        <f>IFERROR(IF(H$4="",0,IF($E41="kWh",VLOOKUP(H$4,'4. Billing Determinants'!$B$19:$N$41,4,0)/'4. Billing Determinants'!$E$41*$D41,IF($E41="kW",VLOOKUP(H$4,'4. Billing Determinants'!$B$19:$N$41,5,0)/'4. Billing Determinants'!$F$41*$D41,IF($E41="Non-RPP kWh",VLOOKUP(H$4,'4. Billing Determinants'!$B$19:$N$41,6,0)/'4. Billing Determinants'!$G$41*$D41,IF($E41="Distribution Rev.",VLOOKUP(H$4,'4. Billing Determinants'!$B$19:$N$41,8,0)/'4. Billing Determinants'!$I$41*$D41, VLOOKUP(H$4,'4. Billing Determinants'!$B$19:$N$41,3,0)/'4. Billing Determinants'!$D$41*$D41))))),0)</f>
        <v>0</v>
      </c>
      <c r="I41" s="75">
        <f>IFERROR(IF(I$4="",0,IF($E41="kWh",VLOOKUP(I$4,'4. Billing Determinants'!$B$19:$N$41,4,0)/'4. Billing Determinants'!$E$41*$D41,IF($E41="kW",VLOOKUP(I$4,'4. Billing Determinants'!$B$19:$N$41,5,0)/'4. Billing Determinants'!$F$41*$D41,IF($E41="Non-RPP kWh",VLOOKUP(I$4,'4. Billing Determinants'!$B$19:$N$41,6,0)/'4. Billing Determinants'!$G$41*$D41,IF($E41="Distribution Rev.",VLOOKUP(I$4,'4. Billing Determinants'!$B$19:$N$41,8,0)/'4. Billing Determinants'!$I$41*$D41, VLOOKUP(I$4,'4. Billing Determinants'!$B$19:$N$41,3,0)/'4. Billing Determinants'!$D$41*$D41))))),0)</f>
        <v>0</v>
      </c>
      <c r="J41" s="75">
        <f>IFERROR(IF(J$4="",0,IF($E41="kWh",VLOOKUP(J$4,'4. Billing Determinants'!$B$19:$N$41,4,0)/'4. Billing Determinants'!$E$41*$D41,IF($E41="kW",VLOOKUP(J$4,'4. Billing Determinants'!$B$19:$N$41,5,0)/'4. Billing Determinants'!$F$41*$D41,IF($E41="Non-RPP kWh",VLOOKUP(J$4,'4. Billing Determinants'!$B$19:$N$41,6,0)/'4. Billing Determinants'!$G$41*$D41,IF($E41="Distribution Rev.",VLOOKUP(J$4,'4. Billing Determinants'!$B$19:$N$41,8,0)/'4. Billing Determinants'!$I$41*$D41, VLOOKUP(J$4,'4. Billing Determinants'!$B$19:$N$41,3,0)/'4. Billing Determinants'!$D$41*$D41))))),0)</f>
        <v>0</v>
      </c>
      <c r="K41" s="75">
        <f>IFERROR(IF(K$4="",0,IF($E41="kWh",VLOOKUP(K$4,'4. Billing Determinants'!$B$19:$N$41,4,0)/'4. Billing Determinants'!$E$41*$D41,IF($E41="kW",VLOOKUP(K$4,'4. Billing Determinants'!$B$19:$N$41,5,0)/'4. Billing Determinants'!$F$41*$D41,IF($E41="Non-RPP kWh",VLOOKUP(K$4,'4. Billing Determinants'!$B$19:$N$41,6,0)/'4. Billing Determinants'!$G$41*$D41,IF($E41="Distribution Rev.",VLOOKUP(K$4,'4. Billing Determinants'!$B$19:$N$41,8,0)/'4. Billing Determinants'!$I$41*$D41, VLOOKUP(K$4,'4. Billing Determinants'!$B$19:$N$41,3,0)/'4. Billing Determinants'!$D$41*$D41))))),0)</f>
        <v>0</v>
      </c>
      <c r="L41" s="75">
        <f>IFERROR(IF(L$4="",0,IF($E41="kWh",VLOOKUP(L$4,'4. Billing Determinants'!$B$19:$N$41,4,0)/'4. Billing Determinants'!$E$41*$D41,IF($E41="kW",VLOOKUP(L$4,'4. Billing Determinants'!$B$19:$N$41,5,0)/'4. Billing Determinants'!$F$41*$D41,IF($E41="Non-RPP kWh",VLOOKUP(L$4,'4. Billing Determinants'!$B$19:$N$41,6,0)/'4. Billing Determinants'!$G$41*$D41,IF($E41="Distribution Rev.",VLOOKUP(L$4,'4. Billing Determinants'!$B$19:$N$41,8,0)/'4. Billing Determinants'!$I$41*$D41, VLOOKUP(L$4,'4. Billing Determinants'!$B$19:$N$41,3,0)/'4. Billing Determinants'!$D$41*$D41))))),0)</f>
        <v>0</v>
      </c>
      <c r="M41" s="75">
        <f>IFERROR(IF(M$4="",0,IF($E41="kWh",VLOOKUP(M$4,'4. Billing Determinants'!$B$19:$N$41,4,0)/'4. Billing Determinants'!$E$41*$D41,IF($E41="kW",VLOOKUP(M$4,'4. Billing Determinants'!$B$19:$N$41,5,0)/'4. Billing Determinants'!$F$41*$D41,IF($E41="Non-RPP kWh",VLOOKUP(M$4,'4. Billing Determinants'!$B$19:$N$41,6,0)/'4. Billing Determinants'!$G$41*$D41,IF($E41="Distribution Rev.",VLOOKUP(M$4,'4. Billing Determinants'!$B$19:$N$41,8,0)/'4. Billing Determinants'!$I$41*$D41, VLOOKUP(M$4,'4. Billing Determinants'!$B$19:$N$41,3,0)/'4. Billing Determinants'!$D$41*$D41))))),0)</f>
        <v>0</v>
      </c>
      <c r="N41" s="75">
        <f>IFERROR(IF(N$4="",0,IF($E41="kWh",VLOOKUP(N$4,'4. Billing Determinants'!$B$19:$N$41,4,0)/'4. Billing Determinants'!$E$41*$D41,IF($E41="kW",VLOOKUP(N$4,'4. Billing Determinants'!$B$19:$N$41,5,0)/'4. Billing Determinants'!$F$41*$D41,IF($E41="Non-RPP kWh",VLOOKUP(N$4,'4. Billing Determinants'!$B$19:$N$41,6,0)/'4. Billing Determinants'!$G$41*$D41,IF($E41="Distribution Rev.",VLOOKUP(N$4,'4. Billing Determinants'!$B$19:$N$41,8,0)/'4. Billing Determinants'!$I$41*$D41, VLOOKUP(N$4,'4. Billing Determinants'!$B$19:$N$41,3,0)/'4. Billing Determinants'!$D$41*$D41))))),0)</f>
        <v>0</v>
      </c>
      <c r="O41" s="75">
        <f>IFERROR(IF(O$4="",0,IF($E41="kWh",VLOOKUP(O$4,'4. Billing Determinants'!$B$19:$N$41,4,0)/'4. Billing Determinants'!$E$41*$D41,IF($E41="kW",VLOOKUP(O$4,'4. Billing Determinants'!$B$19:$N$41,5,0)/'4. Billing Determinants'!$F$41*$D41,IF($E41="Non-RPP kWh",VLOOKUP(O$4,'4. Billing Determinants'!$B$19:$N$41,6,0)/'4. Billing Determinants'!$G$41*$D41,IF($E41="Distribution Rev.",VLOOKUP(O$4,'4. Billing Determinants'!$B$19:$N$41,8,0)/'4. Billing Determinants'!$I$41*$D41, VLOOKUP(O$4,'4. Billing Determinants'!$B$19:$N$41,3,0)/'4. Billing Determinants'!$D$41*$D41))))),0)</f>
        <v>0</v>
      </c>
      <c r="P41" s="75">
        <f>IFERROR(IF(P$4="",0,IF($E41="kWh",VLOOKUP(P$4,'4. Billing Determinants'!$B$19:$N$41,4,0)/'4. Billing Determinants'!$E$41*$D41,IF($E41="kW",VLOOKUP(P$4,'4. Billing Determinants'!$B$19:$N$41,5,0)/'4. Billing Determinants'!$F$41*$D41,IF($E41="Non-RPP kWh",VLOOKUP(P$4,'4. Billing Determinants'!$B$19:$N$41,6,0)/'4. Billing Determinants'!$G$41*$D41,IF($E41="Distribution Rev.",VLOOKUP(P$4,'4. Billing Determinants'!$B$19:$N$41,8,0)/'4. Billing Determinants'!$I$41*$D41, VLOOKUP(P$4,'4. Billing Determinants'!$B$19:$N$41,3,0)/'4. Billing Determinants'!$D$41*$D41))))),0)</f>
        <v>0</v>
      </c>
      <c r="Q41" s="75">
        <f>IFERROR(IF(Q$4="",0,IF($E41="kWh",VLOOKUP(Q$4,'4. Billing Determinants'!$B$19:$N$41,4,0)/'4. Billing Determinants'!$E$41*$D41,IF($E41="kW",VLOOKUP(Q$4,'4. Billing Determinants'!$B$19:$N$41,5,0)/'4. Billing Determinants'!$F$41*$D41,IF($E41="Non-RPP kWh",VLOOKUP(Q$4,'4. Billing Determinants'!$B$19:$N$41,6,0)/'4. Billing Determinants'!$G$41*$D41,IF($E41="Distribution Rev.",VLOOKUP(Q$4,'4. Billing Determinants'!$B$19:$N$41,8,0)/'4. Billing Determinants'!$I$41*$D41, VLOOKUP(Q$4,'4. Billing Determinants'!$B$19:$N$41,3,0)/'4. Billing Determinants'!$D$41*$D41))))),0)</f>
        <v>0</v>
      </c>
      <c r="R41" s="75">
        <f>IFERROR(IF(R$4="",0,IF($E41="kWh",VLOOKUP(R$4,'4. Billing Determinants'!$B$19:$N$41,4,0)/'4. Billing Determinants'!$E$41*$D41,IF($E41="kW",VLOOKUP(R$4,'4. Billing Determinants'!$B$19:$N$41,5,0)/'4. Billing Determinants'!$F$41*$D41,IF($E41="Non-RPP kWh",VLOOKUP(R$4,'4. Billing Determinants'!$B$19:$N$41,6,0)/'4. Billing Determinants'!$G$41*$D41,IF($E41="Distribution Rev.",VLOOKUP(R$4,'4. Billing Determinants'!$B$19:$N$41,8,0)/'4. Billing Determinants'!$I$41*$D41, VLOOKUP(R$4,'4. Billing Determinants'!$B$19:$N$41,3,0)/'4. Billing Determinants'!$D$41*$D41))))),0)</f>
        <v>0</v>
      </c>
      <c r="S41" s="75">
        <f>IFERROR(IF(S$4="",0,IF($E41="kWh",VLOOKUP(S$4,'4. Billing Determinants'!$B$19:$N$41,4,0)/'4. Billing Determinants'!$E$41*$D41,IF($E41="kW",VLOOKUP(S$4,'4. Billing Determinants'!$B$19:$N$41,5,0)/'4. Billing Determinants'!$F$41*$D41,IF($E41="Non-RPP kWh",VLOOKUP(S$4,'4. Billing Determinants'!$B$19:$N$41,6,0)/'4. Billing Determinants'!$G$41*$D41,IF($E41="Distribution Rev.",VLOOKUP(S$4,'4. Billing Determinants'!$B$19:$N$41,8,0)/'4. Billing Determinants'!$I$41*$D41, VLOOKUP(S$4,'4. Billing Determinants'!$B$19:$N$41,3,0)/'4. Billing Determinants'!$D$41*$D41))))),0)</f>
        <v>0</v>
      </c>
      <c r="T41" s="75">
        <f>IFERROR(IF(T$4="",0,IF($E41="kWh",VLOOKUP(T$4,'4. Billing Determinants'!$B$19:$N$41,4,0)/'4. Billing Determinants'!$E$41*$D41,IF($E41="kW",VLOOKUP(T$4,'4. Billing Determinants'!$B$19:$N$41,5,0)/'4. Billing Determinants'!$F$41*$D41,IF($E41="Non-RPP kWh",VLOOKUP(T$4,'4. Billing Determinants'!$B$19:$N$41,6,0)/'4. Billing Determinants'!$G$41*$D41,IF($E41="Distribution Rev.",VLOOKUP(T$4,'4. Billing Determinants'!$B$19:$N$41,8,0)/'4. Billing Determinants'!$I$41*$D41, VLOOKUP(T$4,'4. Billing Determinants'!$B$19:$N$41,3,0)/'4. Billing Determinants'!$D$41*$D41))))),0)</f>
        <v>0</v>
      </c>
      <c r="U41" s="75">
        <f>IFERROR(IF(U$4="",0,IF($E41="kWh",VLOOKUP(U$4,'4. Billing Determinants'!$B$19:$N$41,4,0)/'4. Billing Determinants'!$E$41*$D41,IF($E41="kW",VLOOKUP(U$4,'4. Billing Determinants'!$B$19:$N$41,5,0)/'4. Billing Determinants'!$F$41*$D41,IF($E41="Non-RPP kWh",VLOOKUP(U$4,'4. Billing Determinants'!$B$19:$N$41,6,0)/'4. Billing Determinants'!$G$41*$D41,IF($E41="Distribution Rev.",VLOOKUP(U$4,'4. Billing Determinants'!$B$19:$N$41,8,0)/'4. Billing Determinants'!$I$41*$D41, VLOOKUP(U$4,'4. Billing Determinants'!$B$19:$N$41,3,0)/'4. Billing Determinants'!$D$41*$D41))))),0)</f>
        <v>0</v>
      </c>
      <c r="V41" s="75">
        <f>IFERROR(IF(V$4="",0,IF($E41="kWh",VLOOKUP(V$4,'4. Billing Determinants'!$B$19:$N$41,4,0)/'4. Billing Determinants'!$E$41*$D41,IF($E41="kW",VLOOKUP(V$4,'4. Billing Determinants'!$B$19:$N$41,5,0)/'4. Billing Determinants'!$F$41*$D41,IF($E41="Non-RPP kWh",VLOOKUP(V$4,'4. Billing Determinants'!$B$19:$N$41,6,0)/'4. Billing Determinants'!$G$41*$D41,IF($E41="Distribution Rev.",VLOOKUP(V$4,'4. Billing Determinants'!$B$19:$N$41,8,0)/'4. Billing Determinants'!$I$41*$D41, VLOOKUP(V$4,'4. Billing Determinants'!$B$19:$N$41,3,0)/'4. Billing Determinants'!$D$41*$D41))))),0)</f>
        <v>0</v>
      </c>
      <c r="W41" s="75">
        <f>IFERROR(IF(W$4="",0,IF($E41="kWh",VLOOKUP(W$4,'4. Billing Determinants'!$B$19:$N$41,4,0)/'4. Billing Determinants'!$E$41*$D41,IF($E41="kW",VLOOKUP(W$4,'4. Billing Determinants'!$B$19:$N$41,5,0)/'4. Billing Determinants'!$F$41*$D41,IF($E41="Non-RPP kWh",VLOOKUP(W$4,'4. Billing Determinants'!$B$19:$N$41,6,0)/'4. Billing Determinants'!$G$41*$D41,IF($E41="Distribution Rev.",VLOOKUP(W$4,'4. Billing Determinants'!$B$19:$N$41,8,0)/'4. Billing Determinants'!$I$41*$D41, VLOOKUP(W$4,'4. Billing Determinants'!$B$19:$N$41,3,0)/'4. Billing Determinants'!$D$41*$D41))))),0)</f>
        <v>0</v>
      </c>
      <c r="X41" s="75">
        <f>IFERROR(IF(X$4="",0,IF($E41="kWh",VLOOKUP(X$4,'4. Billing Determinants'!$B$19:$N$41,4,0)/'4. Billing Determinants'!$E$41*$D41,IF($E41="kW",VLOOKUP(X$4,'4. Billing Determinants'!$B$19:$N$41,5,0)/'4. Billing Determinants'!$F$41*$D41,IF($E41="Non-RPP kWh",VLOOKUP(X$4,'4. Billing Determinants'!$B$19:$N$41,6,0)/'4. Billing Determinants'!$G$41*$D41,IF($E41="Distribution Rev.",VLOOKUP(X$4,'4. Billing Determinants'!$B$19:$N$41,8,0)/'4. Billing Determinants'!$I$41*$D41, VLOOKUP(X$4,'4. Billing Determinants'!$B$19:$N$41,3,0)/'4. Billing Determinants'!$D$41*$D41))))),0)</f>
        <v>0</v>
      </c>
      <c r="Y41" s="75">
        <f>IFERROR(IF(Y$4="",0,IF($E41="kWh",VLOOKUP(Y$4,'4. Billing Determinants'!$B$19:$N$41,4,0)/'4. Billing Determinants'!$E$41*$D41,IF($E41="kW",VLOOKUP(Y$4,'4. Billing Determinants'!$B$19:$N$41,5,0)/'4. Billing Determinants'!$F$41*$D41,IF($E41="Non-RPP kWh",VLOOKUP(Y$4,'4. Billing Determinants'!$B$19:$N$41,6,0)/'4. Billing Determinants'!$G$41*$D41,IF($E41="Distribution Rev.",VLOOKUP(Y$4,'4. Billing Determinants'!$B$19:$N$41,8,0)/'4. Billing Determinants'!$I$41*$D41, VLOOKUP(Y$4,'4. Billing Determinants'!$B$19:$N$41,3,0)/'4. Billing Determinants'!$D$41*$D41))))),0)</f>
        <v>0</v>
      </c>
    </row>
    <row r="42" spans="1:25" ht="25.5" x14ac:dyDescent="0.2">
      <c r="B42" s="91" t="s">
        <v>159</v>
      </c>
      <c r="C42" s="88">
        <v>1592</v>
      </c>
      <c r="D42" s="75">
        <f>'2. 2013 Continuity Schedule'!CP66</f>
        <v>0</v>
      </c>
      <c r="E42" s="208"/>
      <c r="F42" s="75">
        <f>IFERROR(IF(F$4="",0,IF($E42="kWh",VLOOKUP(F$4,'4. Billing Determinants'!$B$19:$N$41,4,0)/'4. Billing Determinants'!$E$41*$D42,IF($E42="kW",VLOOKUP(F$4,'4. Billing Determinants'!$B$19:$N$41,5,0)/'4. Billing Determinants'!$F$41*$D42,IF($E42="Non-RPP kWh",VLOOKUP(F$4,'4. Billing Determinants'!$B$19:$N$41,6,0)/'4. Billing Determinants'!$G$41*$D42,IF($E42="Distribution Rev.",VLOOKUP(F$4,'4. Billing Determinants'!$B$19:$N$41,8,0)/'4. Billing Determinants'!$I$41*$D42, VLOOKUP(F$4,'4. Billing Determinants'!$B$19:$N$41,3,0)/'4. Billing Determinants'!$D$41*$D42))))),0)</f>
        <v>0</v>
      </c>
      <c r="G42" s="75">
        <f>IFERROR(IF(G$4="",0,IF($E42="kWh",VLOOKUP(G$4,'4. Billing Determinants'!$B$19:$N$41,4,0)/'4. Billing Determinants'!$E$41*$D42,IF($E42="kW",VLOOKUP(G$4,'4. Billing Determinants'!$B$19:$N$41,5,0)/'4. Billing Determinants'!$F$41*$D42,IF($E42="Non-RPP kWh",VLOOKUP(G$4,'4. Billing Determinants'!$B$19:$N$41,6,0)/'4. Billing Determinants'!$G$41*$D42,IF($E42="Distribution Rev.",VLOOKUP(G$4,'4. Billing Determinants'!$B$19:$N$41,8,0)/'4. Billing Determinants'!$I$41*$D42, VLOOKUP(G$4,'4. Billing Determinants'!$B$19:$N$41,3,0)/'4. Billing Determinants'!$D$41*$D42))))),0)</f>
        <v>0</v>
      </c>
      <c r="H42" s="75">
        <f>IFERROR(IF(H$4="",0,IF($E42="kWh",VLOOKUP(H$4,'4. Billing Determinants'!$B$19:$N$41,4,0)/'4. Billing Determinants'!$E$41*$D42,IF($E42="kW",VLOOKUP(H$4,'4. Billing Determinants'!$B$19:$N$41,5,0)/'4. Billing Determinants'!$F$41*$D42,IF($E42="Non-RPP kWh",VLOOKUP(H$4,'4. Billing Determinants'!$B$19:$N$41,6,0)/'4. Billing Determinants'!$G$41*$D42,IF($E42="Distribution Rev.",VLOOKUP(H$4,'4. Billing Determinants'!$B$19:$N$41,8,0)/'4. Billing Determinants'!$I$41*$D42, VLOOKUP(H$4,'4. Billing Determinants'!$B$19:$N$41,3,0)/'4. Billing Determinants'!$D$41*$D42))))),0)</f>
        <v>0</v>
      </c>
      <c r="I42" s="75">
        <f>IFERROR(IF(I$4="",0,IF($E42="kWh",VLOOKUP(I$4,'4. Billing Determinants'!$B$19:$N$41,4,0)/'4. Billing Determinants'!$E$41*$D42,IF($E42="kW",VLOOKUP(I$4,'4. Billing Determinants'!$B$19:$N$41,5,0)/'4. Billing Determinants'!$F$41*$D42,IF($E42="Non-RPP kWh",VLOOKUP(I$4,'4. Billing Determinants'!$B$19:$N$41,6,0)/'4. Billing Determinants'!$G$41*$D42,IF($E42="Distribution Rev.",VLOOKUP(I$4,'4. Billing Determinants'!$B$19:$N$41,8,0)/'4. Billing Determinants'!$I$41*$D42, VLOOKUP(I$4,'4. Billing Determinants'!$B$19:$N$41,3,0)/'4. Billing Determinants'!$D$41*$D42))))),0)</f>
        <v>0</v>
      </c>
      <c r="J42" s="75">
        <f>IFERROR(IF(J$4="",0,IF($E42="kWh",VLOOKUP(J$4,'4. Billing Determinants'!$B$19:$N$41,4,0)/'4. Billing Determinants'!$E$41*$D42,IF($E42="kW",VLOOKUP(J$4,'4. Billing Determinants'!$B$19:$N$41,5,0)/'4. Billing Determinants'!$F$41*$D42,IF($E42="Non-RPP kWh",VLOOKUP(J$4,'4. Billing Determinants'!$B$19:$N$41,6,0)/'4. Billing Determinants'!$G$41*$D42,IF($E42="Distribution Rev.",VLOOKUP(J$4,'4. Billing Determinants'!$B$19:$N$41,8,0)/'4. Billing Determinants'!$I$41*$D42, VLOOKUP(J$4,'4. Billing Determinants'!$B$19:$N$41,3,0)/'4. Billing Determinants'!$D$41*$D42))))),0)</f>
        <v>0</v>
      </c>
      <c r="K42" s="75">
        <f>IFERROR(IF(K$4="",0,IF($E42="kWh",VLOOKUP(K$4,'4. Billing Determinants'!$B$19:$N$41,4,0)/'4. Billing Determinants'!$E$41*$D42,IF($E42="kW",VLOOKUP(K$4,'4. Billing Determinants'!$B$19:$N$41,5,0)/'4. Billing Determinants'!$F$41*$D42,IF($E42="Non-RPP kWh",VLOOKUP(K$4,'4. Billing Determinants'!$B$19:$N$41,6,0)/'4. Billing Determinants'!$G$41*$D42,IF($E42="Distribution Rev.",VLOOKUP(K$4,'4. Billing Determinants'!$B$19:$N$41,8,0)/'4. Billing Determinants'!$I$41*$D42, VLOOKUP(K$4,'4. Billing Determinants'!$B$19:$N$41,3,0)/'4. Billing Determinants'!$D$41*$D42))))),0)</f>
        <v>0</v>
      </c>
      <c r="L42" s="75">
        <f>IFERROR(IF(L$4="",0,IF($E42="kWh",VLOOKUP(L$4,'4. Billing Determinants'!$B$19:$N$41,4,0)/'4. Billing Determinants'!$E$41*$D42,IF($E42="kW",VLOOKUP(L$4,'4. Billing Determinants'!$B$19:$N$41,5,0)/'4. Billing Determinants'!$F$41*$D42,IF($E42="Non-RPP kWh",VLOOKUP(L$4,'4. Billing Determinants'!$B$19:$N$41,6,0)/'4. Billing Determinants'!$G$41*$D42,IF($E42="Distribution Rev.",VLOOKUP(L$4,'4. Billing Determinants'!$B$19:$N$41,8,0)/'4. Billing Determinants'!$I$41*$D42, VLOOKUP(L$4,'4. Billing Determinants'!$B$19:$N$41,3,0)/'4. Billing Determinants'!$D$41*$D42))))),0)</f>
        <v>0</v>
      </c>
      <c r="M42" s="75">
        <f>IFERROR(IF(M$4="",0,IF($E42="kWh",VLOOKUP(M$4,'4. Billing Determinants'!$B$19:$N$41,4,0)/'4. Billing Determinants'!$E$41*$D42,IF($E42="kW",VLOOKUP(M$4,'4. Billing Determinants'!$B$19:$N$41,5,0)/'4. Billing Determinants'!$F$41*$D42,IF($E42="Non-RPP kWh",VLOOKUP(M$4,'4. Billing Determinants'!$B$19:$N$41,6,0)/'4. Billing Determinants'!$G$41*$D42,IF($E42="Distribution Rev.",VLOOKUP(M$4,'4. Billing Determinants'!$B$19:$N$41,8,0)/'4. Billing Determinants'!$I$41*$D42, VLOOKUP(M$4,'4. Billing Determinants'!$B$19:$N$41,3,0)/'4. Billing Determinants'!$D$41*$D42))))),0)</f>
        <v>0</v>
      </c>
      <c r="N42" s="75">
        <f>IFERROR(IF(N$4="",0,IF($E42="kWh",VLOOKUP(N$4,'4. Billing Determinants'!$B$19:$N$41,4,0)/'4. Billing Determinants'!$E$41*$D42,IF($E42="kW",VLOOKUP(N$4,'4. Billing Determinants'!$B$19:$N$41,5,0)/'4. Billing Determinants'!$F$41*$D42,IF($E42="Non-RPP kWh",VLOOKUP(N$4,'4. Billing Determinants'!$B$19:$N$41,6,0)/'4. Billing Determinants'!$G$41*$D42,IF($E42="Distribution Rev.",VLOOKUP(N$4,'4. Billing Determinants'!$B$19:$N$41,8,0)/'4. Billing Determinants'!$I$41*$D42, VLOOKUP(N$4,'4. Billing Determinants'!$B$19:$N$41,3,0)/'4. Billing Determinants'!$D$41*$D42))))),0)</f>
        <v>0</v>
      </c>
      <c r="O42" s="75">
        <f>IFERROR(IF(O$4="",0,IF($E42="kWh",VLOOKUP(O$4,'4. Billing Determinants'!$B$19:$N$41,4,0)/'4. Billing Determinants'!$E$41*$D42,IF($E42="kW",VLOOKUP(O$4,'4. Billing Determinants'!$B$19:$N$41,5,0)/'4. Billing Determinants'!$F$41*$D42,IF($E42="Non-RPP kWh",VLOOKUP(O$4,'4. Billing Determinants'!$B$19:$N$41,6,0)/'4. Billing Determinants'!$G$41*$D42,IF($E42="Distribution Rev.",VLOOKUP(O$4,'4. Billing Determinants'!$B$19:$N$41,8,0)/'4. Billing Determinants'!$I$41*$D42, VLOOKUP(O$4,'4. Billing Determinants'!$B$19:$N$41,3,0)/'4. Billing Determinants'!$D$41*$D42))))),0)</f>
        <v>0</v>
      </c>
      <c r="P42" s="75">
        <f>IFERROR(IF(P$4="",0,IF($E42="kWh",VLOOKUP(P$4,'4. Billing Determinants'!$B$19:$N$41,4,0)/'4. Billing Determinants'!$E$41*$D42,IF($E42="kW",VLOOKUP(P$4,'4. Billing Determinants'!$B$19:$N$41,5,0)/'4. Billing Determinants'!$F$41*$D42,IF($E42="Non-RPP kWh",VLOOKUP(P$4,'4. Billing Determinants'!$B$19:$N$41,6,0)/'4. Billing Determinants'!$G$41*$D42,IF($E42="Distribution Rev.",VLOOKUP(P$4,'4. Billing Determinants'!$B$19:$N$41,8,0)/'4. Billing Determinants'!$I$41*$D42, VLOOKUP(P$4,'4. Billing Determinants'!$B$19:$N$41,3,0)/'4. Billing Determinants'!$D$41*$D42))))),0)</f>
        <v>0</v>
      </c>
      <c r="Q42" s="75">
        <f>IFERROR(IF(Q$4="",0,IF($E42="kWh",VLOOKUP(Q$4,'4. Billing Determinants'!$B$19:$N$41,4,0)/'4. Billing Determinants'!$E$41*$D42,IF($E42="kW",VLOOKUP(Q$4,'4. Billing Determinants'!$B$19:$N$41,5,0)/'4. Billing Determinants'!$F$41*$D42,IF($E42="Non-RPP kWh",VLOOKUP(Q$4,'4. Billing Determinants'!$B$19:$N$41,6,0)/'4. Billing Determinants'!$G$41*$D42,IF($E42="Distribution Rev.",VLOOKUP(Q$4,'4. Billing Determinants'!$B$19:$N$41,8,0)/'4. Billing Determinants'!$I$41*$D42, VLOOKUP(Q$4,'4. Billing Determinants'!$B$19:$N$41,3,0)/'4. Billing Determinants'!$D$41*$D42))))),0)</f>
        <v>0</v>
      </c>
      <c r="R42" s="75">
        <f>IFERROR(IF(R$4="",0,IF($E42="kWh",VLOOKUP(R$4,'4. Billing Determinants'!$B$19:$N$41,4,0)/'4. Billing Determinants'!$E$41*$D42,IF($E42="kW",VLOOKUP(R$4,'4. Billing Determinants'!$B$19:$N$41,5,0)/'4. Billing Determinants'!$F$41*$D42,IF($E42="Non-RPP kWh",VLOOKUP(R$4,'4. Billing Determinants'!$B$19:$N$41,6,0)/'4. Billing Determinants'!$G$41*$D42,IF($E42="Distribution Rev.",VLOOKUP(R$4,'4. Billing Determinants'!$B$19:$N$41,8,0)/'4. Billing Determinants'!$I$41*$D42, VLOOKUP(R$4,'4. Billing Determinants'!$B$19:$N$41,3,0)/'4. Billing Determinants'!$D$41*$D42))))),0)</f>
        <v>0</v>
      </c>
      <c r="S42" s="75">
        <f>IFERROR(IF(S$4="",0,IF($E42="kWh",VLOOKUP(S$4,'4. Billing Determinants'!$B$19:$N$41,4,0)/'4. Billing Determinants'!$E$41*$D42,IF($E42="kW",VLOOKUP(S$4,'4. Billing Determinants'!$B$19:$N$41,5,0)/'4. Billing Determinants'!$F$41*$D42,IF($E42="Non-RPP kWh",VLOOKUP(S$4,'4. Billing Determinants'!$B$19:$N$41,6,0)/'4. Billing Determinants'!$G$41*$D42,IF($E42="Distribution Rev.",VLOOKUP(S$4,'4. Billing Determinants'!$B$19:$N$41,8,0)/'4. Billing Determinants'!$I$41*$D42, VLOOKUP(S$4,'4. Billing Determinants'!$B$19:$N$41,3,0)/'4. Billing Determinants'!$D$41*$D42))))),0)</f>
        <v>0</v>
      </c>
      <c r="T42" s="75">
        <f>IFERROR(IF(T$4="",0,IF($E42="kWh",VLOOKUP(T$4,'4. Billing Determinants'!$B$19:$N$41,4,0)/'4. Billing Determinants'!$E$41*$D42,IF($E42="kW",VLOOKUP(T$4,'4. Billing Determinants'!$B$19:$N$41,5,0)/'4. Billing Determinants'!$F$41*$D42,IF($E42="Non-RPP kWh",VLOOKUP(T$4,'4. Billing Determinants'!$B$19:$N$41,6,0)/'4. Billing Determinants'!$G$41*$D42,IF($E42="Distribution Rev.",VLOOKUP(T$4,'4. Billing Determinants'!$B$19:$N$41,8,0)/'4. Billing Determinants'!$I$41*$D42, VLOOKUP(T$4,'4. Billing Determinants'!$B$19:$N$41,3,0)/'4. Billing Determinants'!$D$41*$D42))))),0)</f>
        <v>0</v>
      </c>
      <c r="U42" s="75">
        <f>IFERROR(IF(U$4="",0,IF($E42="kWh",VLOOKUP(U$4,'4. Billing Determinants'!$B$19:$N$41,4,0)/'4. Billing Determinants'!$E$41*$D42,IF($E42="kW",VLOOKUP(U$4,'4. Billing Determinants'!$B$19:$N$41,5,0)/'4. Billing Determinants'!$F$41*$D42,IF($E42="Non-RPP kWh",VLOOKUP(U$4,'4. Billing Determinants'!$B$19:$N$41,6,0)/'4. Billing Determinants'!$G$41*$D42,IF($E42="Distribution Rev.",VLOOKUP(U$4,'4. Billing Determinants'!$B$19:$N$41,8,0)/'4. Billing Determinants'!$I$41*$D42, VLOOKUP(U$4,'4. Billing Determinants'!$B$19:$N$41,3,0)/'4. Billing Determinants'!$D$41*$D42))))),0)</f>
        <v>0</v>
      </c>
      <c r="V42" s="75">
        <f>IFERROR(IF(V$4="",0,IF($E42="kWh",VLOOKUP(V$4,'4. Billing Determinants'!$B$19:$N$41,4,0)/'4. Billing Determinants'!$E$41*$D42,IF($E42="kW",VLOOKUP(V$4,'4. Billing Determinants'!$B$19:$N$41,5,0)/'4. Billing Determinants'!$F$41*$D42,IF($E42="Non-RPP kWh",VLOOKUP(V$4,'4. Billing Determinants'!$B$19:$N$41,6,0)/'4. Billing Determinants'!$G$41*$D42,IF($E42="Distribution Rev.",VLOOKUP(V$4,'4. Billing Determinants'!$B$19:$N$41,8,0)/'4. Billing Determinants'!$I$41*$D42, VLOOKUP(V$4,'4. Billing Determinants'!$B$19:$N$41,3,0)/'4. Billing Determinants'!$D$41*$D42))))),0)</f>
        <v>0</v>
      </c>
      <c r="W42" s="75">
        <f>IFERROR(IF(W$4="",0,IF($E42="kWh",VLOOKUP(W$4,'4. Billing Determinants'!$B$19:$N$41,4,0)/'4. Billing Determinants'!$E$41*$D42,IF($E42="kW",VLOOKUP(W$4,'4. Billing Determinants'!$B$19:$N$41,5,0)/'4. Billing Determinants'!$F$41*$D42,IF($E42="Non-RPP kWh",VLOOKUP(W$4,'4. Billing Determinants'!$B$19:$N$41,6,0)/'4. Billing Determinants'!$G$41*$D42,IF($E42="Distribution Rev.",VLOOKUP(W$4,'4. Billing Determinants'!$B$19:$N$41,8,0)/'4. Billing Determinants'!$I$41*$D42, VLOOKUP(W$4,'4. Billing Determinants'!$B$19:$N$41,3,0)/'4. Billing Determinants'!$D$41*$D42))))),0)</f>
        <v>0</v>
      </c>
      <c r="X42" s="75">
        <f>IFERROR(IF(X$4="",0,IF($E42="kWh",VLOOKUP(X$4,'4. Billing Determinants'!$B$19:$N$41,4,0)/'4. Billing Determinants'!$E$41*$D42,IF($E42="kW",VLOOKUP(X$4,'4. Billing Determinants'!$B$19:$N$41,5,0)/'4. Billing Determinants'!$F$41*$D42,IF($E42="Non-RPP kWh",VLOOKUP(X$4,'4. Billing Determinants'!$B$19:$N$41,6,0)/'4. Billing Determinants'!$G$41*$D42,IF($E42="Distribution Rev.",VLOOKUP(X$4,'4. Billing Determinants'!$B$19:$N$41,8,0)/'4. Billing Determinants'!$I$41*$D42, VLOOKUP(X$4,'4. Billing Determinants'!$B$19:$N$41,3,0)/'4. Billing Determinants'!$D$41*$D42))))),0)</f>
        <v>0</v>
      </c>
      <c r="Y42" s="75">
        <f>IFERROR(IF(Y$4="",0,IF($E42="kWh",VLOOKUP(Y$4,'4. Billing Determinants'!$B$19:$N$41,4,0)/'4. Billing Determinants'!$E$41*$D42,IF($E42="kW",VLOOKUP(Y$4,'4. Billing Determinants'!$B$19:$N$41,5,0)/'4. Billing Determinants'!$F$41*$D42,IF($E42="Non-RPP kWh",VLOOKUP(Y$4,'4. Billing Determinants'!$B$19:$N$41,6,0)/'4. Billing Determinants'!$G$41*$D42,IF($E42="Distribution Rev.",VLOOKUP(Y$4,'4. Billing Determinants'!$B$19:$N$41,8,0)/'4. Billing Determinants'!$I$41*$D42, VLOOKUP(Y$4,'4. Billing Determinants'!$B$19:$N$41,3,0)/'4. Billing Determinants'!$D$41*$D42))))),0)</f>
        <v>0</v>
      </c>
    </row>
    <row r="43" spans="1:25" ht="25.5" x14ac:dyDescent="0.2">
      <c r="B43" s="91" t="s">
        <v>154</v>
      </c>
      <c r="C43" s="88">
        <v>1592</v>
      </c>
      <c r="D43" s="75">
        <f>'2. 2013 Continuity Schedule'!CP67</f>
        <v>-154879.65500000003</v>
      </c>
      <c r="E43" s="208" t="s">
        <v>309</v>
      </c>
      <c r="F43" s="75">
        <f>IFERROR(IF(F$4="",0,IF($E43="kWh",VLOOKUP(F$4,'4. Billing Determinants'!$B$19:$N$41,4,0)/'4. Billing Determinants'!$E$41*$D43,IF($E43="kW",VLOOKUP(F$4,'4. Billing Determinants'!$B$19:$N$41,5,0)/'4. Billing Determinants'!$F$41*$D43,IF($E43="Non-RPP kWh",VLOOKUP(F$4,'4. Billing Determinants'!$B$19:$N$41,6,0)/'4. Billing Determinants'!$G$41*$D43,IF($E43="Distribution Rev.",VLOOKUP(F$4,'4. Billing Determinants'!$B$19:$N$41,8,0)/'4. Billing Determinants'!$I$41*$D43, VLOOKUP(F$4,'4. Billing Determinants'!$B$19:$N$41,3,0)/'4. Billing Determinants'!$D$41*$D43))))),0)</f>
        <v>-106126.8201363207</v>
      </c>
      <c r="G43" s="75">
        <f>IFERROR(IF(G$4="",0,IF($E43="kWh",VLOOKUP(G$4,'4. Billing Determinants'!$B$19:$N$41,4,0)/'4. Billing Determinants'!$E$41*$D43,IF($E43="kW",VLOOKUP(G$4,'4. Billing Determinants'!$B$19:$N$41,5,0)/'4. Billing Determinants'!$F$41*$D43,IF($E43="Non-RPP kWh",VLOOKUP(G$4,'4. Billing Determinants'!$B$19:$N$41,6,0)/'4. Billing Determinants'!$G$41*$D43,IF($E43="Distribution Rev.",VLOOKUP(G$4,'4. Billing Determinants'!$B$19:$N$41,8,0)/'4. Billing Determinants'!$I$41*$D43, VLOOKUP(G$4,'4. Billing Determinants'!$B$19:$N$41,3,0)/'4. Billing Determinants'!$D$41*$D43))))),0)</f>
        <v>-23527.073869649397</v>
      </c>
      <c r="H43" s="75">
        <f>IFERROR(IF(H$4="",0,IF($E43="kWh",VLOOKUP(H$4,'4. Billing Determinants'!$B$19:$N$41,4,0)/'4. Billing Determinants'!$E$41*$D43,IF($E43="kW",VLOOKUP(H$4,'4. Billing Determinants'!$B$19:$N$41,5,0)/'4. Billing Determinants'!$F$41*$D43,IF($E43="Non-RPP kWh",VLOOKUP(H$4,'4. Billing Determinants'!$B$19:$N$41,6,0)/'4. Billing Determinants'!$G$41*$D43,IF($E43="Distribution Rev.",VLOOKUP(H$4,'4. Billing Determinants'!$B$19:$N$41,8,0)/'4. Billing Determinants'!$I$41*$D43, VLOOKUP(H$4,'4. Billing Determinants'!$B$19:$N$41,3,0)/'4. Billing Determinants'!$D$41*$D43))))),0)</f>
        <v>-19509.129474121466</v>
      </c>
      <c r="I43" s="75">
        <f>IFERROR(IF(I$4="",0,IF($E43="kWh",VLOOKUP(I$4,'4. Billing Determinants'!$B$19:$N$41,4,0)/'4. Billing Determinants'!$E$41*$D43,IF($E43="kW",VLOOKUP(I$4,'4. Billing Determinants'!$B$19:$N$41,5,0)/'4. Billing Determinants'!$F$41*$D43,IF($E43="Non-RPP kWh",VLOOKUP(I$4,'4. Billing Determinants'!$B$19:$N$41,6,0)/'4. Billing Determinants'!$G$41*$D43,IF($E43="Distribution Rev.",VLOOKUP(I$4,'4. Billing Determinants'!$B$19:$N$41,8,0)/'4. Billing Determinants'!$I$41*$D43, VLOOKUP(I$4,'4. Billing Determinants'!$B$19:$N$41,3,0)/'4. Billing Determinants'!$D$41*$D43))))),0)</f>
        <v>-1549.077620134487</v>
      </c>
      <c r="J43" s="75">
        <f>IFERROR(IF(J$4="",0,IF($E43="kWh",VLOOKUP(J$4,'4. Billing Determinants'!$B$19:$N$41,4,0)/'4. Billing Determinants'!$E$41*$D43,IF($E43="kW",VLOOKUP(J$4,'4. Billing Determinants'!$B$19:$N$41,5,0)/'4. Billing Determinants'!$F$41*$D43,IF($E43="Non-RPP kWh",VLOOKUP(J$4,'4. Billing Determinants'!$B$19:$N$41,6,0)/'4. Billing Determinants'!$G$41*$D43,IF($E43="Distribution Rev.",VLOOKUP(J$4,'4. Billing Determinants'!$B$19:$N$41,8,0)/'4. Billing Determinants'!$I$41*$D43, VLOOKUP(J$4,'4. Billing Determinants'!$B$19:$N$41,3,0)/'4. Billing Determinants'!$D$41*$D43))))),0)</f>
        <v>-3948.9364676239084</v>
      </c>
      <c r="K43" s="75">
        <f>IFERROR(IF(K$4="",0,IF($E43="kWh",VLOOKUP(K$4,'4. Billing Determinants'!$B$19:$N$41,4,0)/'4. Billing Determinants'!$E$41*$D43,IF($E43="kW",VLOOKUP(K$4,'4. Billing Determinants'!$B$19:$N$41,5,0)/'4. Billing Determinants'!$F$41*$D43,IF($E43="Non-RPP kWh",VLOOKUP(K$4,'4. Billing Determinants'!$B$19:$N$41,6,0)/'4. Billing Determinants'!$G$41*$D43,IF($E43="Distribution Rev.",VLOOKUP(K$4,'4. Billing Determinants'!$B$19:$N$41,8,0)/'4. Billing Determinants'!$I$41*$D43, VLOOKUP(K$4,'4. Billing Determinants'!$B$19:$N$41,3,0)/'4. Billing Determinants'!$D$41*$D43))))),0)</f>
        <v>-218.61743215006874</v>
      </c>
      <c r="L43" s="75">
        <f>IFERROR(IF(L$4="",0,IF($E43="kWh",VLOOKUP(L$4,'4. Billing Determinants'!$B$19:$N$41,4,0)/'4. Billing Determinants'!$E$41*$D43,IF($E43="kW",VLOOKUP(L$4,'4. Billing Determinants'!$B$19:$N$41,5,0)/'4. Billing Determinants'!$F$41*$D43,IF($E43="Non-RPP kWh",VLOOKUP(L$4,'4. Billing Determinants'!$B$19:$N$41,6,0)/'4. Billing Determinants'!$G$41*$D43,IF($E43="Distribution Rev.",VLOOKUP(L$4,'4. Billing Determinants'!$B$19:$N$41,8,0)/'4. Billing Determinants'!$I$41*$D43, VLOOKUP(L$4,'4. Billing Determinants'!$B$19:$N$41,3,0)/'4. Billing Determinants'!$D$41*$D43))))),0)</f>
        <v>0</v>
      </c>
      <c r="M43" s="75">
        <f>IFERROR(IF(M$4="",0,IF($E43="kWh",VLOOKUP(M$4,'4. Billing Determinants'!$B$19:$N$41,4,0)/'4. Billing Determinants'!$E$41*$D43,IF($E43="kW",VLOOKUP(M$4,'4. Billing Determinants'!$B$19:$N$41,5,0)/'4. Billing Determinants'!$F$41*$D43,IF($E43="Non-RPP kWh",VLOOKUP(M$4,'4. Billing Determinants'!$B$19:$N$41,6,0)/'4. Billing Determinants'!$G$41*$D43,IF($E43="Distribution Rev.",VLOOKUP(M$4,'4. Billing Determinants'!$B$19:$N$41,8,0)/'4. Billing Determinants'!$I$41*$D43, VLOOKUP(M$4,'4. Billing Determinants'!$B$19:$N$41,3,0)/'4. Billing Determinants'!$D$41*$D43))))),0)</f>
        <v>0</v>
      </c>
      <c r="N43" s="75">
        <f>IFERROR(IF(N$4="",0,IF($E43="kWh",VLOOKUP(N$4,'4. Billing Determinants'!$B$19:$N$41,4,0)/'4. Billing Determinants'!$E$41*$D43,IF($E43="kW",VLOOKUP(N$4,'4. Billing Determinants'!$B$19:$N$41,5,0)/'4. Billing Determinants'!$F$41*$D43,IF($E43="Non-RPP kWh",VLOOKUP(N$4,'4. Billing Determinants'!$B$19:$N$41,6,0)/'4. Billing Determinants'!$G$41*$D43,IF($E43="Distribution Rev.",VLOOKUP(N$4,'4. Billing Determinants'!$B$19:$N$41,8,0)/'4. Billing Determinants'!$I$41*$D43, VLOOKUP(N$4,'4. Billing Determinants'!$B$19:$N$41,3,0)/'4. Billing Determinants'!$D$41*$D43))))),0)</f>
        <v>0</v>
      </c>
      <c r="O43" s="75">
        <f>IFERROR(IF(O$4="",0,IF($E43="kWh",VLOOKUP(O$4,'4. Billing Determinants'!$B$19:$N$41,4,0)/'4. Billing Determinants'!$E$41*$D43,IF($E43="kW",VLOOKUP(O$4,'4. Billing Determinants'!$B$19:$N$41,5,0)/'4. Billing Determinants'!$F$41*$D43,IF($E43="Non-RPP kWh",VLOOKUP(O$4,'4. Billing Determinants'!$B$19:$N$41,6,0)/'4. Billing Determinants'!$G$41*$D43,IF($E43="Distribution Rev.",VLOOKUP(O$4,'4. Billing Determinants'!$B$19:$N$41,8,0)/'4. Billing Determinants'!$I$41*$D43, VLOOKUP(O$4,'4. Billing Determinants'!$B$19:$N$41,3,0)/'4. Billing Determinants'!$D$41*$D43))))),0)</f>
        <v>0</v>
      </c>
      <c r="P43" s="75">
        <f>IFERROR(IF(P$4="",0,IF($E43="kWh",VLOOKUP(P$4,'4. Billing Determinants'!$B$19:$N$41,4,0)/'4. Billing Determinants'!$E$41*$D43,IF($E43="kW",VLOOKUP(P$4,'4. Billing Determinants'!$B$19:$N$41,5,0)/'4. Billing Determinants'!$F$41*$D43,IF($E43="Non-RPP kWh",VLOOKUP(P$4,'4. Billing Determinants'!$B$19:$N$41,6,0)/'4. Billing Determinants'!$G$41*$D43,IF($E43="Distribution Rev.",VLOOKUP(P$4,'4. Billing Determinants'!$B$19:$N$41,8,0)/'4. Billing Determinants'!$I$41*$D43, VLOOKUP(P$4,'4. Billing Determinants'!$B$19:$N$41,3,0)/'4. Billing Determinants'!$D$41*$D43))))),0)</f>
        <v>0</v>
      </c>
      <c r="Q43" s="75">
        <f>IFERROR(IF(Q$4="",0,IF($E43="kWh",VLOOKUP(Q$4,'4. Billing Determinants'!$B$19:$N$41,4,0)/'4. Billing Determinants'!$E$41*$D43,IF($E43="kW",VLOOKUP(Q$4,'4. Billing Determinants'!$B$19:$N$41,5,0)/'4. Billing Determinants'!$F$41*$D43,IF($E43="Non-RPP kWh",VLOOKUP(Q$4,'4. Billing Determinants'!$B$19:$N$41,6,0)/'4. Billing Determinants'!$G$41*$D43,IF($E43="Distribution Rev.",VLOOKUP(Q$4,'4. Billing Determinants'!$B$19:$N$41,8,0)/'4. Billing Determinants'!$I$41*$D43, VLOOKUP(Q$4,'4. Billing Determinants'!$B$19:$N$41,3,0)/'4. Billing Determinants'!$D$41*$D43))))),0)</f>
        <v>0</v>
      </c>
      <c r="R43" s="75">
        <f>IFERROR(IF(R$4="",0,IF($E43="kWh",VLOOKUP(R$4,'4. Billing Determinants'!$B$19:$N$41,4,0)/'4. Billing Determinants'!$E$41*$D43,IF($E43="kW",VLOOKUP(R$4,'4. Billing Determinants'!$B$19:$N$41,5,0)/'4. Billing Determinants'!$F$41*$D43,IF($E43="Non-RPP kWh",VLOOKUP(R$4,'4. Billing Determinants'!$B$19:$N$41,6,0)/'4. Billing Determinants'!$G$41*$D43,IF($E43="Distribution Rev.",VLOOKUP(R$4,'4. Billing Determinants'!$B$19:$N$41,8,0)/'4. Billing Determinants'!$I$41*$D43, VLOOKUP(R$4,'4. Billing Determinants'!$B$19:$N$41,3,0)/'4. Billing Determinants'!$D$41*$D43))))),0)</f>
        <v>0</v>
      </c>
      <c r="S43" s="75">
        <f>IFERROR(IF(S$4="",0,IF($E43="kWh",VLOOKUP(S$4,'4. Billing Determinants'!$B$19:$N$41,4,0)/'4. Billing Determinants'!$E$41*$D43,IF($E43="kW",VLOOKUP(S$4,'4. Billing Determinants'!$B$19:$N$41,5,0)/'4. Billing Determinants'!$F$41*$D43,IF($E43="Non-RPP kWh",VLOOKUP(S$4,'4. Billing Determinants'!$B$19:$N$41,6,0)/'4. Billing Determinants'!$G$41*$D43,IF($E43="Distribution Rev.",VLOOKUP(S$4,'4. Billing Determinants'!$B$19:$N$41,8,0)/'4. Billing Determinants'!$I$41*$D43, VLOOKUP(S$4,'4. Billing Determinants'!$B$19:$N$41,3,0)/'4. Billing Determinants'!$D$41*$D43))))),0)</f>
        <v>0</v>
      </c>
      <c r="T43" s="75">
        <f>IFERROR(IF(T$4="",0,IF($E43="kWh",VLOOKUP(T$4,'4. Billing Determinants'!$B$19:$N$41,4,0)/'4. Billing Determinants'!$E$41*$D43,IF($E43="kW",VLOOKUP(T$4,'4. Billing Determinants'!$B$19:$N$41,5,0)/'4. Billing Determinants'!$F$41*$D43,IF($E43="Non-RPP kWh",VLOOKUP(T$4,'4. Billing Determinants'!$B$19:$N$41,6,0)/'4. Billing Determinants'!$G$41*$D43,IF($E43="Distribution Rev.",VLOOKUP(T$4,'4. Billing Determinants'!$B$19:$N$41,8,0)/'4. Billing Determinants'!$I$41*$D43, VLOOKUP(T$4,'4. Billing Determinants'!$B$19:$N$41,3,0)/'4. Billing Determinants'!$D$41*$D43))))),0)</f>
        <v>0</v>
      </c>
      <c r="U43" s="75">
        <f>IFERROR(IF(U$4="",0,IF($E43="kWh",VLOOKUP(U$4,'4. Billing Determinants'!$B$19:$N$41,4,0)/'4. Billing Determinants'!$E$41*$D43,IF($E43="kW",VLOOKUP(U$4,'4. Billing Determinants'!$B$19:$N$41,5,0)/'4. Billing Determinants'!$F$41*$D43,IF($E43="Non-RPP kWh",VLOOKUP(U$4,'4. Billing Determinants'!$B$19:$N$41,6,0)/'4. Billing Determinants'!$G$41*$D43,IF($E43="Distribution Rev.",VLOOKUP(U$4,'4. Billing Determinants'!$B$19:$N$41,8,0)/'4. Billing Determinants'!$I$41*$D43, VLOOKUP(U$4,'4. Billing Determinants'!$B$19:$N$41,3,0)/'4. Billing Determinants'!$D$41*$D43))))),0)</f>
        <v>0</v>
      </c>
      <c r="V43" s="75">
        <f>IFERROR(IF(V$4="",0,IF($E43="kWh",VLOOKUP(V$4,'4. Billing Determinants'!$B$19:$N$41,4,0)/'4. Billing Determinants'!$E$41*$D43,IF($E43="kW",VLOOKUP(V$4,'4. Billing Determinants'!$B$19:$N$41,5,0)/'4. Billing Determinants'!$F$41*$D43,IF($E43="Non-RPP kWh",VLOOKUP(V$4,'4. Billing Determinants'!$B$19:$N$41,6,0)/'4. Billing Determinants'!$G$41*$D43,IF($E43="Distribution Rev.",VLOOKUP(V$4,'4. Billing Determinants'!$B$19:$N$41,8,0)/'4. Billing Determinants'!$I$41*$D43, VLOOKUP(V$4,'4. Billing Determinants'!$B$19:$N$41,3,0)/'4. Billing Determinants'!$D$41*$D43))))),0)</f>
        <v>0</v>
      </c>
      <c r="W43" s="75">
        <f>IFERROR(IF(W$4="",0,IF($E43="kWh",VLOOKUP(W$4,'4. Billing Determinants'!$B$19:$N$41,4,0)/'4. Billing Determinants'!$E$41*$D43,IF($E43="kW",VLOOKUP(W$4,'4. Billing Determinants'!$B$19:$N$41,5,0)/'4. Billing Determinants'!$F$41*$D43,IF($E43="Non-RPP kWh",VLOOKUP(W$4,'4. Billing Determinants'!$B$19:$N$41,6,0)/'4. Billing Determinants'!$G$41*$D43,IF($E43="Distribution Rev.",VLOOKUP(W$4,'4. Billing Determinants'!$B$19:$N$41,8,0)/'4. Billing Determinants'!$I$41*$D43, VLOOKUP(W$4,'4. Billing Determinants'!$B$19:$N$41,3,0)/'4. Billing Determinants'!$D$41*$D43))))),0)</f>
        <v>0</v>
      </c>
      <c r="X43" s="75">
        <f>IFERROR(IF(X$4="",0,IF($E43="kWh",VLOOKUP(X$4,'4. Billing Determinants'!$B$19:$N$41,4,0)/'4. Billing Determinants'!$E$41*$D43,IF($E43="kW",VLOOKUP(X$4,'4. Billing Determinants'!$B$19:$N$41,5,0)/'4. Billing Determinants'!$F$41*$D43,IF($E43="Non-RPP kWh",VLOOKUP(X$4,'4. Billing Determinants'!$B$19:$N$41,6,0)/'4. Billing Determinants'!$G$41*$D43,IF($E43="Distribution Rev.",VLOOKUP(X$4,'4. Billing Determinants'!$B$19:$N$41,8,0)/'4. Billing Determinants'!$I$41*$D43, VLOOKUP(X$4,'4. Billing Determinants'!$B$19:$N$41,3,0)/'4. Billing Determinants'!$D$41*$D43))))),0)</f>
        <v>0</v>
      </c>
      <c r="Y43" s="75">
        <f>IFERROR(IF(Y$4="",0,IF($E43="kWh",VLOOKUP(Y$4,'4. Billing Determinants'!$B$19:$N$41,4,0)/'4. Billing Determinants'!$E$41*$D43,IF($E43="kW",VLOOKUP(Y$4,'4. Billing Determinants'!$B$19:$N$41,5,0)/'4. Billing Determinants'!$F$41*$D43,IF($E43="Non-RPP kWh",VLOOKUP(Y$4,'4. Billing Determinants'!$B$19:$N$41,6,0)/'4. Billing Determinants'!$G$41*$D43,IF($E43="Distribution Rev.",VLOOKUP(Y$4,'4. Billing Determinants'!$B$19:$N$41,8,0)/'4. Billing Determinants'!$I$41*$D43, VLOOKUP(Y$4,'4. Billing Determinants'!$B$19:$N$41,3,0)/'4. Billing Determinants'!$D$41*$D43))))),0)</f>
        <v>0</v>
      </c>
    </row>
    <row r="44" spans="1:25" s="61" customFormat="1" x14ac:dyDescent="0.2">
      <c r="A44" s="60"/>
      <c r="B44" s="93" t="s">
        <v>160</v>
      </c>
      <c r="C44" s="95"/>
      <c r="D44" s="94">
        <f>SUM(D41:D43)</f>
        <v>-154879.65500000003</v>
      </c>
      <c r="E44" s="95"/>
      <c r="F44" s="94">
        <f>SUM(F41:F43)</f>
        <v>-106126.8201363207</v>
      </c>
      <c r="G44" s="94">
        <f t="shared" ref="G44:Y44" si="2">SUM(G41:G43)</f>
        <v>-23527.073869649397</v>
      </c>
      <c r="H44" s="94">
        <f t="shared" si="2"/>
        <v>-19509.129474121466</v>
      </c>
      <c r="I44" s="94">
        <f t="shared" si="2"/>
        <v>-1549.077620134487</v>
      </c>
      <c r="J44" s="94">
        <f t="shared" si="2"/>
        <v>-3948.9364676239084</v>
      </c>
      <c r="K44" s="94">
        <f t="shared" si="2"/>
        <v>-218.61743215006874</v>
      </c>
      <c r="L44" s="94">
        <f t="shared" si="2"/>
        <v>0</v>
      </c>
      <c r="M44" s="94">
        <f t="shared" si="2"/>
        <v>0</v>
      </c>
      <c r="N44" s="94">
        <f t="shared" si="2"/>
        <v>0</v>
      </c>
      <c r="O44" s="94">
        <f t="shared" si="2"/>
        <v>0</v>
      </c>
      <c r="P44" s="94">
        <f t="shared" si="2"/>
        <v>0</v>
      </c>
      <c r="Q44" s="94">
        <f t="shared" si="2"/>
        <v>0</v>
      </c>
      <c r="R44" s="94">
        <f t="shared" si="2"/>
        <v>0</v>
      </c>
      <c r="S44" s="94">
        <f t="shared" si="2"/>
        <v>0</v>
      </c>
      <c r="T44" s="94">
        <f t="shared" si="2"/>
        <v>0</v>
      </c>
      <c r="U44" s="94">
        <f t="shared" si="2"/>
        <v>0</v>
      </c>
      <c r="V44" s="94">
        <f t="shared" si="2"/>
        <v>0</v>
      </c>
      <c r="W44" s="94">
        <f t="shared" si="2"/>
        <v>0</v>
      </c>
      <c r="X44" s="94">
        <f t="shared" si="2"/>
        <v>0</v>
      </c>
      <c r="Y44" s="94">
        <f t="shared" si="2"/>
        <v>0</v>
      </c>
    </row>
    <row r="45" spans="1:25" x14ac:dyDescent="0.2">
      <c r="B45" s="82"/>
      <c r="C45" s="85"/>
      <c r="D45" s="86"/>
      <c r="E45" s="85"/>
    </row>
    <row r="46" spans="1:25" x14ac:dyDescent="0.2">
      <c r="B46" s="91" t="s">
        <v>161</v>
      </c>
      <c r="C46" s="88">
        <v>1568</v>
      </c>
      <c r="D46" s="75">
        <f>'2. 2013 Continuity Schedule'!CP72</f>
        <v>83818.25</v>
      </c>
      <c r="E46" s="99"/>
      <c r="F46" s="209">
        <v>40584.17</v>
      </c>
      <c r="G46" s="209">
        <v>24894.55</v>
      </c>
      <c r="H46" s="209">
        <v>18339.560000000001</v>
      </c>
      <c r="I46" s="209"/>
      <c r="J46" s="209"/>
      <c r="K46" s="209"/>
      <c r="L46" s="209"/>
      <c r="M46" s="209"/>
      <c r="N46" s="209"/>
      <c r="O46" s="209"/>
      <c r="P46" s="209"/>
      <c r="Q46" s="209"/>
      <c r="R46" s="209"/>
      <c r="S46" s="209"/>
      <c r="T46" s="209"/>
      <c r="U46" s="209"/>
      <c r="V46" s="209"/>
      <c r="W46" s="209"/>
      <c r="X46" s="209"/>
      <c r="Y46" s="209"/>
    </row>
    <row r="47" spans="1:25" s="81" customFormat="1" x14ac:dyDescent="0.2">
      <c r="B47" s="281" t="s">
        <v>163</v>
      </c>
      <c r="C47" s="281"/>
      <c r="D47" s="100">
        <f>SUM(F46:Y46)</f>
        <v>83818.28</v>
      </c>
    </row>
    <row r="48" spans="1:25" s="81" customFormat="1" x14ac:dyDescent="0.2">
      <c r="B48" s="282" t="s">
        <v>148</v>
      </c>
      <c r="C48" s="282"/>
      <c r="D48" s="84">
        <f>D46-D47</f>
        <v>-2.9999999998835847E-2</v>
      </c>
      <c r="E48" s="98"/>
    </row>
    <row r="49" spans="2:25" s="81" customFormat="1" x14ac:dyDescent="0.2"/>
    <row r="50" spans="2:25" s="102" customFormat="1" x14ac:dyDescent="0.2">
      <c r="B50" s="283" t="s">
        <v>195</v>
      </c>
      <c r="C50" s="283"/>
      <c r="D50" s="107">
        <f>SUM(F50:Y50)</f>
        <v>-678578.59499999997</v>
      </c>
      <c r="E50" s="108"/>
      <c r="F50" s="107">
        <f t="shared" ref="F50:Y50" si="3">SUM(F46:F46,F44,F39,F16)</f>
        <v>-236926.56155401704</v>
      </c>
      <c r="G50" s="107">
        <f t="shared" si="3"/>
        <v>-109902.20400692473</v>
      </c>
      <c r="H50" s="107">
        <f t="shared" si="3"/>
        <v>-326654.9579643209</v>
      </c>
      <c r="I50" s="107">
        <f t="shared" si="3"/>
        <v>5280.0890264145655</v>
      </c>
      <c r="J50" s="107">
        <f t="shared" si="3"/>
        <v>-10234.689511453453</v>
      </c>
      <c r="K50" s="107">
        <f t="shared" si="3"/>
        <v>-140.27098969831559</v>
      </c>
      <c r="L50" s="107">
        <f t="shared" si="3"/>
        <v>0</v>
      </c>
      <c r="M50" s="107">
        <f t="shared" si="3"/>
        <v>0</v>
      </c>
      <c r="N50" s="107">
        <f t="shared" si="3"/>
        <v>0</v>
      </c>
      <c r="O50" s="107">
        <f t="shared" si="3"/>
        <v>0</v>
      </c>
      <c r="P50" s="107">
        <f t="shared" si="3"/>
        <v>0</v>
      </c>
      <c r="Q50" s="107">
        <f t="shared" si="3"/>
        <v>0</v>
      </c>
      <c r="R50" s="107">
        <f t="shared" si="3"/>
        <v>0</v>
      </c>
      <c r="S50" s="107">
        <f t="shared" si="3"/>
        <v>0</v>
      </c>
      <c r="T50" s="107">
        <f t="shared" si="3"/>
        <v>0</v>
      </c>
      <c r="U50" s="107">
        <f t="shared" si="3"/>
        <v>0</v>
      </c>
      <c r="V50" s="107">
        <f t="shared" si="3"/>
        <v>0</v>
      </c>
      <c r="W50" s="107">
        <f t="shared" si="3"/>
        <v>0</v>
      </c>
      <c r="X50" s="107">
        <f t="shared" si="3"/>
        <v>0</v>
      </c>
      <c r="Y50" s="107">
        <f t="shared" si="3"/>
        <v>0</v>
      </c>
    </row>
    <row r="51" spans="2:25" s="103" customFormat="1" x14ac:dyDescent="0.2">
      <c r="B51" s="283" t="s">
        <v>203</v>
      </c>
      <c r="C51" s="283"/>
      <c r="D51" s="107">
        <f>D10</f>
        <v>621585.59999999986</v>
      </c>
      <c r="E51" s="107"/>
      <c r="F51" s="107">
        <f t="shared" ref="F51:Y51" si="4">F10</f>
        <v>73554.485140340577</v>
      </c>
      <c r="G51" s="107">
        <f t="shared" si="4"/>
        <v>64012.70492411944</v>
      </c>
      <c r="H51" s="107">
        <f t="shared" si="4"/>
        <v>473414.90304568526</v>
      </c>
      <c r="I51" s="107">
        <f t="shared" si="4"/>
        <v>230.00696954317391</v>
      </c>
      <c r="J51" s="107">
        <f t="shared" si="4"/>
        <v>10115.563224742436</v>
      </c>
      <c r="K51" s="107">
        <f t="shared" si="4"/>
        <v>257.93669556895509</v>
      </c>
      <c r="L51" s="107">
        <f t="shared" si="4"/>
        <v>0</v>
      </c>
      <c r="M51" s="107">
        <f t="shared" si="4"/>
        <v>0</v>
      </c>
      <c r="N51" s="107">
        <f t="shared" si="4"/>
        <v>0</v>
      </c>
      <c r="O51" s="107">
        <f t="shared" si="4"/>
        <v>0</v>
      </c>
      <c r="P51" s="107">
        <f t="shared" si="4"/>
        <v>0</v>
      </c>
      <c r="Q51" s="107">
        <f t="shared" si="4"/>
        <v>0</v>
      </c>
      <c r="R51" s="107">
        <f t="shared" si="4"/>
        <v>0</v>
      </c>
      <c r="S51" s="107">
        <f t="shared" si="4"/>
        <v>0</v>
      </c>
      <c r="T51" s="107">
        <f t="shared" si="4"/>
        <v>0</v>
      </c>
      <c r="U51" s="107">
        <f t="shared" si="4"/>
        <v>0</v>
      </c>
      <c r="V51" s="107">
        <f t="shared" si="4"/>
        <v>0</v>
      </c>
      <c r="W51" s="107">
        <f t="shared" si="4"/>
        <v>0</v>
      </c>
      <c r="X51" s="107">
        <f t="shared" si="4"/>
        <v>0</v>
      </c>
      <c r="Y51" s="107">
        <f t="shared" si="4"/>
        <v>0</v>
      </c>
    </row>
    <row r="52" spans="2:25" s="81" customFormat="1" x14ac:dyDescent="0.2">
      <c r="B52" s="284" t="s">
        <v>196</v>
      </c>
      <c r="C52" s="284"/>
      <c r="D52" s="109">
        <f>SUM(D50:D51)</f>
        <v>-56992.995000000112</v>
      </c>
      <c r="E52" s="110"/>
      <c r="F52" s="109">
        <f t="shared" ref="F52:Y52" si="5">SUM(F50:F51)</f>
        <v>-163372.07641367646</v>
      </c>
      <c r="G52" s="109">
        <f t="shared" si="5"/>
        <v>-45889.499082805291</v>
      </c>
      <c r="H52" s="109">
        <f t="shared" si="5"/>
        <v>146759.94508136436</v>
      </c>
      <c r="I52" s="109">
        <f t="shared" si="5"/>
        <v>5510.0959959577394</v>
      </c>
      <c r="J52" s="109">
        <f t="shared" si="5"/>
        <v>-119.12628671101629</v>
      </c>
      <c r="K52" s="109">
        <f t="shared" si="5"/>
        <v>117.6657058706395</v>
      </c>
      <c r="L52" s="109">
        <f t="shared" si="5"/>
        <v>0</v>
      </c>
      <c r="M52" s="109">
        <f t="shared" si="5"/>
        <v>0</v>
      </c>
      <c r="N52" s="109">
        <f t="shared" si="5"/>
        <v>0</v>
      </c>
      <c r="O52" s="109">
        <f t="shared" si="5"/>
        <v>0</v>
      </c>
      <c r="P52" s="109">
        <f t="shared" si="5"/>
        <v>0</v>
      </c>
      <c r="Q52" s="109">
        <f t="shared" si="5"/>
        <v>0</v>
      </c>
      <c r="R52" s="109">
        <f t="shared" si="5"/>
        <v>0</v>
      </c>
      <c r="S52" s="109">
        <f t="shared" si="5"/>
        <v>0</v>
      </c>
      <c r="T52" s="109">
        <f t="shared" si="5"/>
        <v>0</v>
      </c>
      <c r="U52" s="109">
        <f t="shared" si="5"/>
        <v>0</v>
      </c>
      <c r="V52" s="109">
        <f t="shared" si="5"/>
        <v>0</v>
      </c>
      <c r="W52" s="109">
        <f t="shared" si="5"/>
        <v>0</v>
      </c>
      <c r="X52" s="109">
        <f t="shared" si="5"/>
        <v>0</v>
      </c>
      <c r="Y52" s="109">
        <f t="shared" si="5"/>
        <v>0</v>
      </c>
    </row>
    <row r="53" spans="2:25" x14ac:dyDescent="0.2">
      <c r="D53" s="87"/>
    </row>
    <row r="54" spans="2:25" x14ac:dyDescent="0.2">
      <c r="B54" s="76" t="s">
        <v>291</v>
      </c>
      <c r="C54" s="76">
        <v>1575</v>
      </c>
      <c r="D54" s="75">
        <f>'2. 2013 Continuity Schedule'!CP82</f>
        <v>0</v>
      </c>
      <c r="E54" s="208"/>
      <c r="F54" s="75">
        <f>IFERROR(IF(F$4="",0,IF($E54="kWh",VLOOKUP(F$4,'4. Billing Determinants'!$B$19:$N$41,4,0)/'4. Billing Determinants'!$E$41*$D54,IF($E54="kW",VLOOKUP(F$4,'4. Billing Determinants'!$B$19:$N$41,5,0)/'4. Billing Determinants'!$F$41*$D54,IF($E54="Non-RPP kWh",VLOOKUP(F$4,'4. Billing Determinants'!$B$19:$N$41,6,0)/'4. Billing Determinants'!$G$41*$D54,IF($E54="Distribution Rev.",VLOOKUP(F$4,'4. Billing Determinants'!$B$19:$N$41,8,0)/'4. Billing Determinants'!$I$41*$D54, VLOOKUP(F$4,'4. Billing Determinants'!$B$19:$N$41,3,0)/'4. Billing Determinants'!$D$41*$D54))))),0)</f>
        <v>0</v>
      </c>
      <c r="G54" s="75">
        <f>IFERROR(IF(G$4="",0,IF($E54="kWh",VLOOKUP(G$4,'4. Billing Determinants'!$B$19:$N$41,4,0)/'4. Billing Determinants'!$E$41*$D54,IF($E54="kW",VLOOKUP(G$4,'4. Billing Determinants'!$B$19:$N$41,5,0)/'4. Billing Determinants'!$F$41*$D54,IF($E54="Non-RPP kWh",VLOOKUP(G$4,'4. Billing Determinants'!$B$19:$N$41,6,0)/'4. Billing Determinants'!$G$41*$D54,IF($E54="Distribution Rev.",VLOOKUP(G$4,'4. Billing Determinants'!$B$19:$N$41,8,0)/'4. Billing Determinants'!$I$41*$D54, VLOOKUP(G$4,'4. Billing Determinants'!$B$19:$N$41,3,0)/'4. Billing Determinants'!$D$41*$D54))))),0)</f>
        <v>0</v>
      </c>
      <c r="H54" s="75">
        <f>IFERROR(IF(H$4="",0,IF($E54="kWh",VLOOKUP(H$4,'4. Billing Determinants'!$B$19:$N$41,4,0)/'4. Billing Determinants'!$E$41*$D54,IF($E54="kW",VLOOKUP(H$4,'4. Billing Determinants'!$B$19:$N$41,5,0)/'4. Billing Determinants'!$F$41*$D54,IF($E54="Non-RPP kWh",VLOOKUP(H$4,'4. Billing Determinants'!$B$19:$N$41,6,0)/'4. Billing Determinants'!$G$41*$D54,IF($E54="Distribution Rev.",VLOOKUP(H$4,'4. Billing Determinants'!$B$19:$N$41,8,0)/'4. Billing Determinants'!$I$41*$D54, VLOOKUP(H$4,'4. Billing Determinants'!$B$19:$N$41,3,0)/'4. Billing Determinants'!$D$41*$D54))))),0)</f>
        <v>0</v>
      </c>
      <c r="I54" s="75">
        <f>IFERROR(IF(I$4="",0,IF($E54="kWh",VLOOKUP(I$4,'4. Billing Determinants'!$B$19:$N$41,4,0)/'4. Billing Determinants'!$E$41*$D54,IF($E54="kW",VLOOKUP(I$4,'4. Billing Determinants'!$B$19:$N$41,5,0)/'4. Billing Determinants'!$F$41*$D54,IF($E54="Non-RPP kWh",VLOOKUP(I$4,'4. Billing Determinants'!$B$19:$N$41,6,0)/'4. Billing Determinants'!$G$41*$D54,IF($E54="Distribution Rev.",VLOOKUP(I$4,'4. Billing Determinants'!$B$19:$N$41,8,0)/'4. Billing Determinants'!$I$41*$D54, VLOOKUP(I$4,'4. Billing Determinants'!$B$19:$N$41,3,0)/'4. Billing Determinants'!$D$41*$D54))))),0)</f>
        <v>0</v>
      </c>
      <c r="J54" s="75">
        <f>IFERROR(IF(J$4="",0,IF($E54="kWh",VLOOKUP(J$4,'4. Billing Determinants'!$B$19:$N$41,4,0)/'4. Billing Determinants'!$E$41*$D54,IF($E54="kW",VLOOKUP(J$4,'4. Billing Determinants'!$B$19:$N$41,5,0)/'4. Billing Determinants'!$F$41*$D54,IF($E54="Non-RPP kWh",VLOOKUP(J$4,'4. Billing Determinants'!$B$19:$N$41,6,0)/'4. Billing Determinants'!$G$41*$D54,IF($E54="Distribution Rev.",VLOOKUP(J$4,'4. Billing Determinants'!$B$19:$N$41,8,0)/'4. Billing Determinants'!$I$41*$D54, VLOOKUP(J$4,'4. Billing Determinants'!$B$19:$N$41,3,0)/'4. Billing Determinants'!$D$41*$D54))))),0)</f>
        <v>0</v>
      </c>
      <c r="K54" s="75">
        <f>IFERROR(IF(K$4="",0,IF($E54="kWh",VLOOKUP(K$4,'4. Billing Determinants'!$B$19:$N$41,4,0)/'4. Billing Determinants'!$E$41*$D54,IF($E54="kW",VLOOKUP(K$4,'4. Billing Determinants'!$B$19:$N$41,5,0)/'4. Billing Determinants'!$F$41*$D54,IF($E54="Non-RPP kWh",VLOOKUP(K$4,'4. Billing Determinants'!$B$19:$N$41,6,0)/'4. Billing Determinants'!$G$41*$D54,IF($E54="Distribution Rev.",VLOOKUP(K$4,'4. Billing Determinants'!$B$19:$N$41,8,0)/'4. Billing Determinants'!$I$41*$D54, VLOOKUP(K$4,'4. Billing Determinants'!$B$19:$N$41,3,0)/'4. Billing Determinants'!$D$41*$D54))))),0)</f>
        <v>0</v>
      </c>
      <c r="L54" s="75">
        <f>IFERROR(IF(L$4="",0,IF($E54="kWh",VLOOKUP(L$4,'4. Billing Determinants'!$B$19:$N$41,4,0)/'4. Billing Determinants'!$E$41*$D54,IF($E54="kW",VLOOKUP(L$4,'4. Billing Determinants'!$B$19:$N$41,5,0)/'4. Billing Determinants'!$F$41*$D54,IF($E54="Non-RPP kWh",VLOOKUP(L$4,'4. Billing Determinants'!$B$19:$N$41,6,0)/'4. Billing Determinants'!$G$41*$D54,IF($E54="Distribution Rev.",VLOOKUP(L$4,'4. Billing Determinants'!$B$19:$N$41,8,0)/'4. Billing Determinants'!$I$41*$D54, VLOOKUP(L$4,'4. Billing Determinants'!$B$19:$N$41,3,0)/'4. Billing Determinants'!$D$41*$D54))))),0)</f>
        <v>0</v>
      </c>
      <c r="M54" s="75">
        <f>IFERROR(IF(M$4="",0,IF($E54="kWh",VLOOKUP(M$4,'4. Billing Determinants'!$B$19:$N$41,4,0)/'4. Billing Determinants'!$E$41*$D54,IF($E54="kW",VLOOKUP(M$4,'4. Billing Determinants'!$B$19:$N$41,5,0)/'4. Billing Determinants'!$F$41*$D54,IF($E54="Non-RPP kWh",VLOOKUP(M$4,'4. Billing Determinants'!$B$19:$N$41,6,0)/'4. Billing Determinants'!$G$41*$D54,IF($E54="Distribution Rev.",VLOOKUP(M$4,'4. Billing Determinants'!$B$19:$N$41,8,0)/'4. Billing Determinants'!$I$41*$D54, VLOOKUP(M$4,'4. Billing Determinants'!$B$19:$N$41,3,0)/'4. Billing Determinants'!$D$41*$D54))))),0)</f>
        <v>0</v>
      </c>
      <c r="N54" s="75">
        <f>IFERROR(IF(N$4="",0,IF($E54="kWh",VLOOKUP(N$4,'4. Billing Determinants'!$B$19:$N$41,4,0)/'4. Billing Determinants'!$E$41*$D54,IF($E54="kW",VLOOKUP(N$4,'4. Billing Determinants'!$B$19:$N$41,5,0)/'4. Billing Determinants'!$F$41*$D54,IF($E54="Non-RPP kWh",VLOOKUP(N$4,'4. Billing Determinants'!$B$19:$N$41,6,0)/'4. Billing Determinants'!$G$41*$D54,IF($E54="Distribution Rev.",VLOOKUP(N$4,'4. Billing Determinants'!$B$19:$N$41,8,0)/'4. Billing Determinants'!$I$41*$D54, VLOOKUP(N$4,'4. Billing Determinants'!$B$19:$N$41,3,0)/'4. Billing Determinants'!$D$41*$D54))))),0)</f>
        <v>0</v>
      </c>
      <c r="O54" s="75">
        <f>IFERROR(IF(O$4="",0,IF($E54="kWh",VLOOKUP(O$4,'4. Billing Determinants'!$B$19:$N$41,4,0)/'4. Billing Determinants'!$E$41*$D54,IF($E54="kW",VLOOKUP(O$4,'4. Billing Determinants'!$B$19:$N$41,5,0)/'4. Billing Determinants'!$F$41*$D54,IF($E54="Non-RPP kWh",VLOOKUP(O$4,'4. Billing Determinants'!$B$19:$N$41,6,0)/'4. Billing Determinants'!$G$41*$D54,IF($E54="Distribution Rev.",VLOOKUP(O$4,'4. Billing Determinants'!$B$19:$N$41,8,0)/'4. Billing Determinants'!$I$41*$D54, VLOOKUP(O$4,'4. Billing Determinants'!$B$19:$N$41,3,0)/'4. Billing Determinants'!$D$41*$D54))))),0)</f>
        <v>0</v>
      </c>
      <c r="P54" s="75">
        <f>IFERROR(IF(P$4="",0,IF($E54="kWh",VLOOKUP(P$4,'4. Billing Determinants'!$B$19:$N$41,4,0)/'4. Billing Determinants'!$E$41*$D54,IF($E54="kW",VLOOKUP(P$4,'4. Billing Determinants'!$B$19:$N$41,5,0)/'4. Billing Determinants'!$F$41*$D54,IF($E54="Non-RPP kWh",VLOOKUP(P$4,'4. Billing Determinants'!$B$19:$N$41,6,0)/'4. Billing Determinants'!$G$41*$D54,IF($E54="Distribution Rev.",VLOOKUP(P$4,'4. Billing Determinants'!$B$19:$N$41,8,0)/'4. Billing Determinants'!$I$41*$D54, VLOOKUP(P$4,'4. Billing Determinants'!$B$19:$N$41,3,0)/'4. Billing Determinants'!$D$41*$D54))))),0)</f>
        <v>0</v>
      </c>
      <c r="Q54" s="75">
        <f>IFERROR(IF(Q$4="",0,IF($E54="kWh",VLOOKUP(Q$4,'4. Billing Determinants'!$B$19:$N$41,4,0)/'4. Billing Determinants'!$E$41*$D54,IF($E54="kW",VLOOKUP(Q$4,'4. Billing Determinants'!$B$19:$N$41,5,0)/'4. Billing Determinants'!$F$41*$D54,IF($E54="Non-RPP kWh",VLOOKUP(Q$4,'4. Billing Determinants'!$B$19:$N$41,6,0)/'4. Billing Determinants'!$G$41*$D54,IF($E54="Distribution Rev.",VLOOKUP(Q$4,'4. Billing Determinants'!$B$19:$N$41,8,0)/'4. Billing Determinants'!$I$41*$D54, VLOOKUP(Q$4,'4. Billing Determinants'!$B$19:$N$41,3,0)/'4. Billing Determinants'!$D$41*$D54))))),0)</f>
        <v>0</v>
      </c>
      <c r="R54" s="75">
        <f>IFERROR(IF(R$4="",0,IF($E54="kWh",VLOOKUP(R$4,'4. Billing Determinants'!$B$19:$N$41,4,0)/'4. Billing Determinants'!$E$41*$D54,IF($E54="kW",VLOOKUP(R$4,'4. Billing Determinants'!$B$19:$N$41,5,0)/'4. Billing Determinants'!$F$41*$D54,IF($E54="Non-RPP kWh",VLOOKUP(R$4,'4. Billing Determinants'!$B$19:$N$41,6,0)/'4. Billing Determinants'!$G$41*$D54,IF($E54="Distribution Rev.",VLOOKUP(R$4,'4. Billing Determinants'!$B$19:$N$41,8,0)/'4. Billing Determinants'!$I$41*$D54, VLOOKUP(R$4,'4. Billing Determinants'!$B$19:$N$41,3,0)/'4. Billing Determinants'!$D$41*$D54))))),0)</f>
        <v>0</v>
      </c>
      <c r="S54" s="75">
        <f>IFERROR(IF(S$4="",0,IF($E54="kWh",VLOOKUP(S$4,'4. Billing Determinants'!$B$19:$N$41,4,0)/'4. Billing Determinants'!$E$41*$D54,IF($E54="kW",VLOOKUP(S$4,'4. Billing Determinants'!$B$19:$N$41,5,0)/'4. Billing Determinants'!$F$41*$D54,IF($E54="Non-RPP kWh",VLOOKUP(S$4,'4. Billing Determinants'!$B$19:$N$41,6,0)/'4. Billing Determinants'!$G$41*$D54,IF($E54="Distribution Rev.",VLOOKUP(S$4,'4. Billing Determinants'!$B$19:$N$41,8,0)/'4. Billing Determinants'!$I$41*$D54, VLOOKUP(S$4,'4. Billing Determinants'!$B$19:$N$41,3,0)/'4. Billing Determinants'!$D$41*$D54))))),0)</f>
        <v>0</v>
      </c>
      <c r="T54" s="75">
        <f>IFERROR(IF(T$4="",0,IF($E54="kWh",VLOOKUP(T$4,'4. Billing Determinants'!$B$19:$N$41,4,0)/'4. Billing Determinants'!$E$41*$D54,IF($E54="kW",VLOOKUP(T$4,'4. Billing Determinants'!$B$19:$N$41,5,0)/'4. Billing Determinants'!$F$41*$D54,IF($E54="Non-RPP kWh",VLOOKUP(T$4,'4. Billing Determinants'!$B$19:$N$41,6,0)/'4. Billing Determinants'!$G$41*$D54,IF($E54="Distribution Rev.",VLOOKUP(T$4,'4. Billing Determinants'!$B$19:$N$41,8,0)/'4. Billing Determinants'!$I$41*$D54, VLOOKUP(T$4,'4. Billing Determinants'!$B$19:$N$41,3,0)/'4. Billing Determinants'!$D$41*$D54))))),0)</f>
        <v>0</v>
      </c>
      <c r="U54" s="75">
        <f>IFERROR(IF(U$4="",0,IF($E54="kWh",VLOOKUP(U$4,'4. Billing Determinants'!$B$19:$N$41,4,0)/'4. Billing Determinants'!$E$41*$D54,IF($E54="kW",VLOOKUP(U$4,'4. Billing Determinants'!$B$19:$N$41,5,0)/'4. Billing Determinants'!$F$41*$D54,IF($E54="Non-RPP kWh",VLOOKUP(U$4,'4. Billing Determinants'!$B$19:$N$41,6,0)/'4. Billing Determinants'!$G$41*$D54,IF($E54="Distribution Rev.",VLOOKUP(U$4,'4. Billing Determinants'!$B$19:$N$41,8,0)/'4. Billing Determinants'!$I$41*$D54, VLOOKUP(U$4,'4. Billing Determinants'!$B$19:$N$41,3,0)/'4. Billing Determinants'!$D$41*$D54))))),0)</f>
        <v>0</v>
      </c>
      <c r="V54" s="75">
        <f>IFERROR(IF(V$4="",0,IF($E54="kWh",VLOOKUP(V$4,'4. Billing Determinants'!$B$19:$N$41,4,0)/'4. Billing Determinants'!$E$41*$D54,IF($E54="kW",VLOOKUP(V$4,'4. Billing Determinants'!$B$19:$N$41,5,0)/'4. Billing Determinants'!$F$41*$D54,IF($E54="Non-RPP kWh",VLOOKUP(V$4,'4. Billing Determinants'!$B$19:$N$41,6,0)/'4. Billing Determinants'!$G$41*$D54,IF($E54="Distribution Rev.",VLOOKUP(V$4,'4. Billing Determinants'!$B$19:$N$41,8,0)/'4. Billing Determinants'!$I$41*$D54, VLOOKUP(V$4,'4. Billing Determinants'!$B$19:$N$41,3,0)/'4. Billing Determinants'!$D$41*$D54))))),0)</f>
        <v>0</v>
      </c>
      <c r="W54" s="75">
        <f>IFERROR(IF(W$4="",0,IF($E54="kWh",VLOOKUP(W$4,'4. Billing Determinants'!$B$19:$N$41,4,0)/'4. Billing Determinants'!$E$41*$D54,IF($E54="kW",VLOOKUP(W$4,'4. Billing Determinants'!$B$19:$N$41,5,0)/'4. Billing Determinants'!$F$41*$D54,IF($E54="Non-RPP kWh",VLOOKUP(W$4,'4. Billing Determinants'!$B$19:$N$41,6,0)/'4. Billing Determinants'!$G$41*$D54,IF($E54="Distribution Rev.",VLOOKUP(W$4,'4. Billing Determinants'!$B$19:$N$41,8,0)/'4. Billing Determinants'!$I$41*$D54, VLOOKUP(W$4,'4. Billing Determinants'!$B$19:$N$41,3,0)/'4. Billing Determinants'!$D$41*$D54))))),0)</f>
        <v>0</v>
      </c>
      <c r="X54" s="75">
        <f>IFERROR(IF(X$4="",0,IF($E54="kWh",VLOOKUP(X$4,'4. Billing Determinants'!$B$19:$N$41,4,0)/'4. Billing Determinants'!$E$41*$D54,IF($E54="kW",VLOOKUP(X$4,'4. Billing Determinants'!$B$19:$N$41,5,0)/'4. Billing Determinants'!$F$41*$D54,IF($E54="Non-RPP kWh",VLOOKUP(X$4,'4. Billing Determinants'!$B$19:$N$41,6,0)/'4. Billing Determinants'!$G$41*$D54,IF($E54="Distribution Rev.",VLOOKUP(X$4,'4. Billing Determinants'!$B$19:$N$41,8,0)/'4. Billing Determinants'!$I$41*$D54, VLOOKUP(X$4,'4. Billing Determinants'!$B$19:$N$41,3,0)/'4. Billing Determinants'!$D$41*$D54))))),0)</f>
        <v>0</v>
      </c>
      <c r="Y54" s="75">
        <f>IFERROR(IF(Y$4="",0,IF($E54="kWh",VLOOKUP(Y$4,'4. Billing Determinants'!$B$19:$N$41,4,0)/'4. Billing Determinants'!$E$41*$D54,IF($E54="kW",VLOOKUP(Y$4,'4. Billing Determinants'!$B$19:$N$41,5,0)/'4. Billing Determinants'!$F$41*$D54,IF($E54="Non-RPP kWh",VLOOKUP(Y$4,'4. Billing Determinants'!$B$19:$N$41,6,0)/'4. Billing Determinants'!$G$41*$D54,IF($E54="Distribution Rev.",VLOOKUP(Y$4,'4. Billing Determinants'!$B$19:$N$41,8,0)/'4. Billing Determinants'!$I$41*$D54, VLOOKUP(Y$4,'4. Billing Determinants'!$B$19:$N$41,3,0)/'4. Billing Determinants'!$D$41*$D54))))),0)</f>
        <v>0</v>
      </c>
    </row>
    <row r="55" spans="2:25" x14ac:dyDescent="0.2">
      <c r="B55" s="76" t="s">
        <v>292</v>
      </c>
      <c r="C55" s="76">
        <v>1576</v>
      </c>
      <c r="D55" s="75">
        <f>'2. 2013 Continuity Schedule'!CP83</f>
        <v>-1857468</v>
      </c>
      <c r="E55" s="208" t="s">
        <v>309</v>
      </c>
      <c r="F55" s="75">
        <f>IFERROR(IF(F$4="",0,IF($E55="kWh",VLOOKUP(F$4,'4. Billing Determinants'!$B$19:$N$41,4,0)/'4. Billing Determinants'!$E$41*$D55,IF($E55="kW",VLOOKUP(F$4,'4. Billing Determinants'!$B$19:$N$41,5,0)/'4. Billing Determinants'!$F$41*$D55,IF($E55="Non-RPP kWh",VLOOKUP(F$4,'4. Billing Determinants'!$B$19:$N$41,6,0)/'4. Billing Determinants'!$G$41*$D55,IF($E55="Distribution Rev.",VLOOKUP(F$4,'4. Billing Determinants'!$B$19:$N$41,8,0)/'4. Billing Determinants'!$I$41*$D55, VLOOKUP(F$4,'4. Billing Determinants'!$B$19:$N$41,3,0)/'4. Billing Determinants'!$D$41*$D55))))),0)</f>
        <v>-1272776.4169217146</v>
      </c>
      <c r="G55" s="75">
        <f>IFERROR(IF(G$4="",0,IF($E55="kWh",VLOOKUP(G$4,'4. Billing Determinants'!$B$19:$N$41,4,0)/'4. Billing Determinants'!$E$41*$D55,IF($E55="kW",VLOOKUP(G$4,'4. Billing Determinants'!$B$19:$N$41,5,0)/'4. Billing Determinants'!$F$41*$D55,IF($E55="Non-RPP kWh",VLOOKUP(G$4,'4. Billing Determinants'!$B$19:$N$41,6,0)/'4. Billing Determinants'!$G$41*$D55,IF($E55="Distribution Rev.",VLOOKUP(G$4,'4. Billing Determinants'!$B$19:$N$41,8,0)/'4. Billing Determinants'!$I$41*$D55, VLOOKUP(G$4,'4. Billing Determinants'!$B$19:$N$41,3,0)/'4. Billing Determinants'!$D$41*$D55))))),0)</f>
        <v>-282159.63450144517</v>
      </c>
      <c r="H55" s="75">
        <f>IFERROR(IF(H$4="",0,IF($E55="kWh",VLOOKUP(H$4,'4. Billing Determinants'!$B$19:$N$41,4,0)/'4. Billing Determinants'!$E$41*$D55,IF($E55="kW",VLOOKUP(H$4,'4. Billing Determinants'!$B$19:$N$41,5,0)/'4. Billing Determinants'!$F$41*$D55,IF($E55="Non-RPP kWh",VLOOKUP(H$4,'4. Billing Determinants'!$B$19:$N$41,6,0)/'4. Billing Determinants'!$G$41*$D55,IF($E55="Distribution Rev.",VLOOKUP(H$4,'4. Billing Determinants'!$B$19:$N$41,8,0)/'4. Billing Determinants'!$I$41*$D55, VLOOKUP(H$4,'4. Billing Determinants'!$B$19:$N$41,3,0)/'4. Billing Determinants'!$D$41*$D55))))),0)</f>
        <v>-233972.52341527649</v>
      </c>
      <c r="I55" s="75">
        <f>IFERROR(IF(I$4="",0,IF($E55="kWh",VLOOKUP(I$4,'4. Billing Determinants'!$B$19:$N$41,4,0)/'4. Billing Determinants'!$E$41*$D55,IF($E55="kW",VLOOKUP(I$4,'4. Billing Determinants'!$B$19:$N$41,5,0)/'4. Billing Determinants'!$F$41*$D55,IF($E55="Non-RPP kWh",VLOOKUP(I$4,'4. Billing Determinants'!$B$19:$N$41,6,0)/'4. Billing Determinants'!$G$41*$D55,IF($E55="Distribution Rev.",VLOOKUP(I$4,'4. Billing Determinants'!$B$19:$N$41,8,0)/'4. Billing Determinants'!$I$41*$D55, VLOOKUP(I$4,'4. Billing Determinants'!$B$19:$N$41,3,0)/'4. Billing Determinants'!$D$41*$D55))))),0)</f>
        <v>-18578.050867403887</v>
      </c>
      <c r="J55" s="75">
        <f>IFERROR(IF(J$4="",0,IF($E55="kWh",VLOOKUP(J$4,'4. Billing Determinants'!$B$19:$N$41,4,0)/'4. Billing Determinants'!$E$41*$D55,IF($E55="kW",VLOOKUP(J$4,'4. Billing Determinants'!$B$19:$N$41,5,0)/'4. Billing Determinants'!$F$41*$D55,IF($E55="Non-RPP kWh",VLOOKUP(J$4,'4. Billing Determinants'!$B$19:$N$41,6,0)/'4. Billing Determinants'!$G$41*$D55,IF($E55="Distribution Rev.",VLOOKUP(J$4,'4. Billing Determinants'!$B$19:$N$41,8,0)/'4. Billing Determinants'!$I$41*$D55, VLOOKUP(J$4,'4. Billing Determinants'!$B$19:$N$41,3,0)/'4. Billing Determinants'!$D$41*$D55))))),0)</f>
        <v>-47359.50065645772</v>
      </c>
      <c r="K55" s="75">
        <f>IFERROR(IF(K$4="",0,IF($E55="kWh",VLOOKUP(K$4,'4. Billing Determinants'!$B$19:$N$41,4,0)/'4. Billing Determinants'!$E$41*$D55,IF($E55="kW",VLOOKUP(K$4,'4. Billing Determinants'!$B$19:$N$41,5,0)/'4. Billing Determinants'!$F$41*$D55,IF($E55="Non-RPP kWh",VLOOKUP(K$4,'4. Billing Determinants'!$B$19:$N$41,6,0)/'4. Billing Determinants'!$G$41*$D55,IF($E55="Distribution Rev.",VLOOKUP(K$4,'4. Billing Determinants'!$B$19:$N$41,8,0)/'4. Billing Determinants'!$I$41*$D55, VLOOKUP(K$4,'4. Billing Determinants'!$B$19:$N$41,3,0)/'4. Billing Determinants'!$D$41*$D55))))),0)</f>
        <v>-2621.8736377022778</v>
      </c>
      <c r="L55" s="75">
        <f>IFERROR(IF(L$4="",0,IF($E55="kWh",VLOOKUP(L$4,'4. Billing Determinants'!$B$19:$N$41,4,0)/'4. Billing Determinants'!$E$41*$D55,IF($E55="kW",VLOOKUP(L$4,'4. Billing Determinants'!$B$19:$N$41,5,0)/'4. Billing Determinants'!$F$41*$D55,IF($E55="Non-RPP kWh",VLOOKUP(L$4,'4. Billing Determinants'!$B$19:$N$41,6,0)/'4. Billing Determinants'!$G$41*$D55,IF($E55="Distribution Rev.",VLOOKUP(L$4,'4. Billing Determinants'!$B$19:$N$41,8,0)/'4. Billing Determinants'!$I$41*$D55, VLOOKUP(L$4,'4. Billing Determinants'!$B$19:$N$41,3,0)/'4. Billing Determinants'!$D$41*$D55))))),0)</f>
        <v>0</v>
      </c>
      <c r="M55" s="75">
        <f>IFERROR(IF(M$4="",0,IF($E55="kWh",VLOOKUP(M$4,'4. Billing Determinants'!$B$19:$N$41,4,0)/'4. Billing Determinants'!$E$41*$D55,IF($E55="kW",VLOOKUP(M$4,'4. Billing Determinants'!$B$19:$N$41,5,0)/'4. Billing Determinants'!$F$41*$D55,IF($E55="Non-RPP kWh",VLOOKUP(M$4,'4. Billing Determinants'!$B$19:$N$41,6,0)/'4. Billing Determinants'!$G$41*$D55,IF($E55="Distribution Rev.",VLOOKUP(M$4,'4. Billing Determinants'!$B$19:$N$41,8,0)/'4. Billing Determinants'!$I$41*$D55, VLOOKUP(M$4,'4. Billing Determinants'!$B$19:$N$41,3,0)/'4. Billing Determinants'!$D$41*$D55))))),0)</f>
        <v>0</v>
      </c>
      <c r="N55" s="75">
        <f>IFERROR(IF(N$4="",0,IF($E55="kWh",VLOOKUP(N$4,'4. Billing Determinants'!$B$19:$N$41,4,0)/'4. Billing Determinants'!$E$41*$D55,IF($E55="kW",VLOOKUP(N$4,'4. Billing Determinants'!$B$19:$N$41,5,0)/'4. Billing Determinants'!$F$41*$D55,IF($E55="Non-RPP kWh",VLOOKUP(N$4,'4. Billing Determinants'!$B$19:$N$41,6,0)/'4. Billing Determinants'!$G$41*$D55,IF($E55="Distribution Rev.",VLOOKUP(N$4,'4. Billing Determinants'!$B$19:$N$41,8,0)/'4. Billing Determinants'!$I$41*$D55, VLOOKUP(N$4,'4. Billing Determinants'!$B$19:$N$41,3,0)/'4. Billing Determinants'!$D$41*$D55))))),0)</f>
        <v>0</v>
      </c>
      <c r="O55" s="75">
        <f>IFERROR(IF(O$4="",0,IF($E55="kWh",VLOOKUP(O$4,'4. Billing Determinants'!$B$19:$N$41,4,0)/'4. Billing Determinants'!$E$41*$D55,IF($E55="kW",VLOOKUP(O$4,'4. Billing Determinants'!$B$19:$N$41,5,0)/'4. Billing Determinants'!$F$41*$D55,IF($E55="Non-RPP kWh",VLOOKUP(O$4,'4. Billing Determinants'!$B$19:$N$41,6,0)/'4. Billing Determinants'!$G$41*$D55,IF($E55="Distribution Rev.",VLOOKUP(O$4,'4. Billing Determinants'!$B$19:$N$41,8,0)/'4. Billing Determinants'!$I$41*$D55, VLOOKUP(O$4,'4. Billing Determinants'!$B$19:$N$41,3,0)/'4. Billing Determinants'!$D$41*$D55))))),0)</f>
        <v>0</v>
      </c>
      <c r="P55" s="75">
        <f>IFERROR(IF(P$4="",0,IF($E55="kWh",VLOOKUP(P$4,'4. Billing Determinants'!$B$19:$N$41,4,0)/'4. Billing Determinants'!$E$41*$D55,IF($E55="kW",VLOOKUP(P$4,'4. Billing Determinants'!$B$19:$N$41,5,0)/'4. Billing Determinants'!$F$41*$D55,IF($E55="Non-RPP kWh",VLOOKUP(P$4,'4. Billing Determinants'!$B$19:$N$41,6,0)/'4. Billing Determinants'!$G$41*$D55,IF($E55="Distribution Rev.",VLOOKUP(P$4,'4. Billing Determinants'!$B$19:$N$41,8,0)/'4. Billing Determinants'!$I$41*$D55, VLOOKUP(P$4,'4. Billing Determinants'!$B$19:$N$41,3,0)/'4. Billing Determinants'!$D$41*$D55))))),0)</f>
        <v>0</v>
      </c>
      <c r="Q55" s="75">
        <f>IFERROR(IF(Q$4="",0,IF($E55="kWh",VLOOKUP(Q$4,'4. Billing Determinants'!$B$19:$N$41,4,0)/'4. Billing Determinants'!$E$41*$D55,IF($E55="kW",VLOOKUP(Q$4,'4. Billing Determinants'!$B$19:$N$41,5,0)/'4. Billing Determinants'!$F$41*$D55,IF($E55="Non-RPP kWh",VLOOKUP(Q$4,'4. Billing Determinants'!$B$19:$N$41,6,0)/'4. Billing Determinants'!$G$41*$D55,IF($E55="Distribution Rev.",VLOOKUP(Q$4,'4. Billing Determinants'!$B$19:$N$41,8,0)/'4. Billing Determinants'!$I$41*$D55, VLOOKUP(Q$4,'4. Billing Determinants'!$B$19:$N$41,3,0)/'4. Billing Determinants'!$D$41*$D55))))),0)</f>
        <v>0</v>
      </c>
      <c r="R55" s="75">
        <f>IFERROR(IF(R$4="",0,IF($E55="kWh",VLOOKUP(R$4,'4. Billing Determinants'!$B$19:$N$41,4,0)/'4. Billing Determinants'!$E$41*$D55,IF($E55="kW",VLOOKUP(R$4,'4. Billing Determinants'!$B$19:$N$41,5,0)/'4. Billing Determinants'!$F$41*$D55,IF($E55="Non-RPP kWh",VLOOKUP(R$4,'4. Billing Determinants'!$B$19:$N$41,6,0)/'4. Billing Determinants'!$G$41*$D55,IF($E55="Distribution Rev.",VLOOKUP(R$4,'4. Billing Determinants'!$B$19:$N$41,8,0)/'4. Billing Determinants'!$I$41*$D55, VLOOKUP(R$4,'4. Billing Determinants'!$B$19:$N$41,3,0)/'4. Billing Determinants'!$D$41*$D55))))),0)</f>
        <v>0</v>
      </c>
      <c r="S55" s="75">
        <f>IFERROR(IF(S$4="",0,IF($E55="kWh",VLOOKUP(S$4,'4. Billing Determinants'!$B$19:$N$41,4,0)/'4. Billing Determinants'!$E$41*$D55,IF($E55="kW",VLOOKUP(S$4,'4. Billing Determinants'!$B$19:$N$41,5,0)/'4. Billing Determinants'!$F$41*$D55,IF($E55="Non-RPP kWh",VLOOKUP(S$4,'4. Billing Determinants'!$B$19:$N$41,6,0)/'4. Billing Determinants'!$G$41*$D55,IF($E55="Distribution Rev.",VLOOKUP(S$4,'4. Billing Determinants'!$B$19:$N$41,8,0)/'4. Billing Determinants'!$I$41*$D55, VLOOKUP(S$4,'4. Billing Determinants'!$B$19:$N$41,3,0)/'4. Billing Determinants'!$D$41*$D55))))),0)</f>
        <v>0</v>
      </c>
      <c r="T55" s="75">
        <f>IFERROR(IF(T$4="",0,IF($E55="kWh",VLOOKUP(T$4,'4. Billing Determinants'!$B$19:$N$41,4,0)/'4. Billing Determinants'!$E$41*$D55,IF($E55="kW",VLOOKUP(T$4,'4. Billing Determinants'!$B$19:$N$41,5,0)/'4. Billing Determinants'!$F$41*$D55,IF($E55="Non-RPP kWh",VLOOKUP(T$4,'4. Billing Determinants'!$B$19:$N$41,6,0)/'4. Billing Determinants'!$G$41*$D55,IF($E55="Distribution Rev.",VLOOKUP(T$4,'4. Billing Determinants'!$B$19:$N$41,8,0)/'4. Billing Determinants'!$I$41*$D55, VLOOKUP(T$4,'4. Billing Determinants'!$B$19:$N$41,3,0)/'4. Billing Determinants'!$D$41*$D55))))),0)</f>
        <v>0</v>
      </c>
      <c r="U55" s="75">
        <f>IFERROR(IF(U$4="",0,IF($E55="kWh",VLOOKUP(U$4,'4. Billing Determinants'!$B$19:$N$41,4,0)/'4. Billing Determinants'!$E$41*$D55,IF($E55="kW",VLOOKUP(U$4,'4. Billing Determinants'!$B$19:$N$41,5,0)/'4. Billing Determinants'!$F$41*$D55,IF($E55="Non-RPP kWh",VLOOKUP(U$4,'4. Billing Determinants'!$B$19:$N$41,6,0)/'4. Billing Determinants'!$G$41*$D55,IF($E55="Distribution Rev.",VLOOKUP(U$4,'4. Billing Determinants'!$B$19:$N$41,8,0)/'4. Billing Determinants'!$I$41*$D55, VLOOKUP(U$4,'4. Billing Determinants'!$B$19:$N$41,3,0)/'4. Billing Determinants'!$D$41*$D55))))),0)</f>
        <v>0</v>
      </c>
      <c r="V55" s="75">
        <f>IFERROR(IF(V$4="",0,IF($E55="kWh",VLOOKUP(V$4,'4. Billing Determinants'!$B$19:$N$41,4,0)/'4. Billing Determinants'!$E$41*$D55,IF($E55="kW",VLOOKUP(V$4,'4. Billing Determinants'!$B$19:$N$41,5,0)/'4. Billing Determinants'!$F$41*$D55,IF($E55="Non-RPP kWh",VLOOKUP(V$4,'4. Billing Determinants'!$B$19:$N$41,6,0)/'4. Billing Determinants'!$G$41*$D55,IF($E55="Distribution Rev.",VLOOKUP(V$4,'4. Billing Determinants'!$B$19:$N$41,8,0)/'4. Billing Determinants'!$I$41*$D55, VLOOKUP(V$4,'4. Billing Determinants'!$B$19:$N$41,3,0)/'4. Billing Determinants'!$D$41*$D55))))),0)</f>
        <v>0</v>
      </c>
      <c r="W55" s="75">
        <f>IFERROR(IF(W$4="",0,IF($E55="kWh",VLOOKUP(W$4,'4. Billing Determinants'!$B$19:$N$41,4,0)/'4. Billing Determinants'!$E$41*$D55,IF($E55="kW",VLOOKUP(W$4,'4. Billing Determinants'!$B$19:$N$41,5,0)/'4. Billing Determinants'!$F$41*$D55,IF($E55="Non-RPP kWh",VLOOKUP(W$4,'4. Billing Determinants'!$B$19:$N$41,6,0)/'4. Billing Determinants'!$G$41*$D55,IF($E55="Distribution Rev.",VLOOKUP(W$4,'4. Billing Determinants'!$B$19:$N$41,8,0)/'4. Billing Determinants'!$I$41*$D55, VLOOKUP(W$4,'4. Billing Determinants'!$B$19:$N$41,3,0)/'4. Billing Determinants'!$D$41*$D55))))),0)</f>
        <v>0</v>
      </c>
      <c r="X55" s="75">
        <f>IFERROR(IF(X$4="",0,IF($E55="kWh",VLOOKUP(X$4,'4. Billing Determinants'!$B$19:$N$41,4,0)/'4. Billing Determinants'!$E$41*$D55,IF($E55="kW",VLOOKUP(X$4,'4. Billing Determinants'!$B$19:$N$41,5,0)/'4. Billing Determinants'!$F$41*$D55,IF($E55="Non-RPP kWh",VLOOKUP(X$4,'4. Billing Determinants'!$B$19:$N$41,6,0)/'4. Billing Determinants'!$G$41*$D55,IF($E55="Distribution Rev.",VLOOKUP(X$4,'4. Billing Determinants'!$B$19:$N$41,8,0)/'4. Billing Determinants'!$I$41*$D55, VLOOKUP(X$4,'4. Billing Determinants'!$B$19:$N$41,3,0)/'4. Billing Determinants'!$D$41*$D55))))),0)</f>
        <v>0</v>
      </c>
      <c r="Y55" s="75">
        <f>IFERROR(IF(Y$4="",0,IF($E55="kWh",VLOOKUP(Y$4,'4. Billing Determinants'!$B$19:$N$41,4,0)/'4. Billing Determinants'!$E$41*$D55,IF($E55="kW",VLOOKUP(Y$4,'4. Billing Determinants'!$B$19:$N$41,5,0)/'4. Billing Determinants'!$F$41*$D55,IF($E55="Non-RPP kWh",VLOOKUP(Y$4,'4. Billing Determinants'!$B$19:$N$41,6,0)/'4. Billing Determinants'!$G$41*$D55,IF($E55="Distribution Rev.",VLOOKUP(Y$4,'4. Billing Determinants'!$B$19:$N$41,8,0)/'4. Billing Determinants'!$I$41*$D55, VLOOKUP(Y$4,'4. Billing Determinants'!$B$19:$N$41,3,0)/'4. Billing Determinants'!$D$41*$D55))))),0)</f>
        <v>0</v>
      </c>
    </row>
    <row r="56" spans="2:25" x14ac:dyDescent="0.2">
      <c r="B56" s="93" t="s">
        <v>205</v>
      </c>
      <c r="C56" s="93"/>
      <c r="D56" s="94">
        <f>SUM(D54:D55)</f>
        <v>-1857468</v>
      </c>
      <c r="E56" s="94"/>
      <c r="F56" s="94">
        <f>SUM(F54:F55)</f>
        <v>-1272776.4169217146</v>
      </c>
      <c r="G56" s="94">
        <f t="shared" ref="G56:Y56" si="6">SUM(G54:G55)</f>
        <v>-282159.63450144517</v>
      </c>
      <c r="H56" s="94">
        <f t="shared" si="6"/>
        <v>-233972.52341527649</v>
      </c>
      <c r="I56" s="94">
        <f t="shared" si="6"/>
        <v>-18578.050867403887</v>
      </c>
      <c r="J56" s="94">
        <f t="shared" si="6"/>
        <v>-47359.50065645772</v>
      </c>
      <c r="K56" s="94">
        <f t="shared" si="6"/>
        <v>-2621.8736377022778</v>
      </c>
      <c r="L56" s="94">
        <f t="shared" si="6"/>
        <v>0</v>
      </c>
      <c r="M56" s="94">
        <f t="shared" si="6"/>
        <v>0</v>
      </c>
      <c r="N56" s="94">
        <f t="shared" si="6"/>
        <v>0</v>
      </c>
      <c r="O56" s="94">
        <f t="shared" si="6"/>
        <v>0</v>
      </c>
      <c r="P56" s="94">
        <f t="shared" si="6"/>
        <v>0</v>
      </c>
      <c r="Q56" s="94">
        <f t="shared" si="6"/>
        <v>0</v>
      </c>
      <c r="R56" s="94">
        <f t="shared" si="6"/>
        <v>0</v>
      </c>
      <c r="S56" s="94">
        <f t="shared" si="6"/>
        <v>0</v>
      </c>
      <c r="T56" s="94">
        <f t="shared" si="6"/>
        <v>0</v>
      </c>
      <c r="U56" s="94">
        <f t="shared" si="6"/>
        <v>0</v>
      </c>
      <c r="V56" s="94">
        <f t="shared" si="6"/>
        <v>0</v>
      </c>
      <c r="W56" s="94">
        <f t="shared" si="6"/>
        <v>0</v>
      </c>
      <c r="X56" s="94">
        <f t="shared" si="6"/>
        <v>0</v>
      </c>
      <c r="Y56" s="94">
        <f t="shared" si="6"/>
        <v>0</v>
      </c>
    </row>
  </sheetData>
  <sheetProtection password="F8BD" sheet="1" objects="1" scenarios="1"/>
  <mergeCells count="5">
    <mergeCell ref="B47:C47"/>
    <mergeCell ref="B48:C48"/>
    <mergeCell ref="B50:C50"/>
    <mergeCell ref="B51:C51"/>
    <mergeCell ref="B52:C52"/>
  </mergeCells>
  <dataValidations count="3">
    <dataValidation type="list" allowBlank="1" showInputMessage="1" showErrorMessage="1" sqref="E5:E15">
      <formula1>"kWh, kW, Non-RPP kWh"</formula1>
    </dataValidation>
    <dataValidation type="list" allowBlank="1" showInputMessage="1" showErrorMessage="1" sqref="E41:E44 E39 E54:E55">
      <formula1>"kWh, kW, Non-RPP kWh, Distribution Rev."</formula1>
    </dataValidation>
    <dataValidation type="list" allowBlank="1" showInputMessage="1" showErrorMessage="1" sqref="E18:E38">
      <formula1>"kWh, kW, Non-RPP kWh, Distribution Rev., # of Customers"</formula1>
    </dataValidation>
  </dataValidations>
  <printOptions horizontalCentered="1"/>
  <pageMargins left="0.23622047244094499" right="0.23622047244094499" top="0.99803149599999996" bottom="0.55118110236220497" header="0.31496062992126" footer="0.31496062992126"/>
  <pageSetup scale="50" orientation="landscape" r:id="rId1"/>
  <headerFooter scaleWithDoc="0">
    <oddHeader>&amp;RHaldimand County Hydro Inc.
EB-2013-0134
Settlement Proposal
APPENDIX L
Filed:  April 4, 2014
Page &amp;P of &amp;N</oddHeader>
  </headerFooter>
  <colBreaks count="2" manualBreakCount="2">
    <brk id="12" max="1048575" man="1"/>
    <brk id="1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I95"/>
  <sheetViews>
    <sheetView topLeftCell="A34" zoomScaleNormal="100" workbookViewId="0">
      <selection activeCell="J60" sqref="J60"/>
    </sheetView>
  </sheetViews>
  <sheetFormatPr defaultRowHeight="12.75" x14ac:dyDescent="0.2"/>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x14ac:dyDescent="0.2">
      <c r="B13" s="116" t="s">
        <v>165</v>
      </c>
      <c r="C13" s="117"/>
      <c r="D13" s="118">
        <v>1</v>
      </c>
    </row>
    <row r="16" spans="2:4" ht="18" x14ac:dyDescent="0.25">
      <c r="B16" s="120" t="s">
        <v>167</v>
      </c>
    </row>
    <row r="18" spans="2:7" ht="12.75" customHeight="1" x14ac:dyDescent="0.2">
      <c r="B18" s="279" t="s">
        <v>158</v>
      </c>
      <c r="C18" s="278" t="s">
        <v>143</v>
      </c>
      <c r="D18" s="285" t="s">
        <v>166</v>
      </c>
      <c r="E18" s="285" t="s">
        <v>204</v>
      </c>
      <c r="F18" s="287" t="s">
        <v>164</v>
      </c>
    </row>
    <row r="19" spans="2:7" ht="27" customHeight="1" x14ac:dyDescent="0.2">
      <c r="B19" s="280"/>
      <c r="C19" s="278"/>
      <c r="D19" s="286"/>
      <c r="E19" s="286"/>
      <c r="F19" s="287"/>
    </row>
    <row r="20" spans="2:7" x14ac:dyDescent="0.2">
      <c r="B20" s="101" t="str">
        <f>IF(ISBLANK('4. Billing Determinants'!B21), "", '4. Billing Determinants'!B21)</f>
        <v>Residential</v>
      </c>
      <c r="C20" s="208" t="s">
        <v>306</v>
      </c>
      <c r="D20" s="104">
        <f>IF(C20="", 0, IF(C20="kWh", '4. Billing Determinants'!E21, IF(C20="kW", '4. Billing Determinants'!F21, '4. Billing Determinants'!D21)))</f>
        <v>169468358</v>
      </c>
      <c r="E20" s="105">
        <f>HLOOKUP($B20, '5. Allocation of Balances'!$C$4:$Y$50, 47,FALSE)</f>
        <v>-236926.56155401704</v>
      </c>
      <c r="F20" s="115">
        <f>IF(ISERROR(E20/D20), 0, IF(C20="# of Customers", E20/D20/12/$D$13, E20/D20/$D$13))</f>
        <v>-1.3980578106151064E-3</v>
      </c>
      <c r="G20" t="str">
        <f>IF(C20="", "", IF(C20="# of Customers", "per customer per month", "$/"&amp;C20))</f>
        <v>$/kWh</v>
      </c>
    </row>
    <row r="21" spans="2:7" x14ac:dyDescent="0.2">
      <c r="B21" s="101" t="str">
        <f>IF(ISBLANK('4. Billing Determinants'!B22), "", '4. Billing Determinants'!B22)</f>
        <v>General Service Less Than 50 kW</v>
      </c>
      <c r="C21" s="208" t="s">
        <v>306</v>
      </c>
      <c r="D21" s="104">
        <f>IF(C21="", 0, IF(C21="kWh", '4. Billing Determinants'!E22, IF(C21="kW", '4. Billing Determinants'!F22, '4. Billing Determinants'!D22)))</f>
        <v>53958437</v>
      </c>
      <c r="E21" s="105">
        <f>HLOOKUP($B21, '5. Allocation of Balances'!$C$4:$Y$50, 47,FALSE)</f>
        <v>-109902.20400692473</v>
      </c>
      <c r="F21" s="115">
        <f t="shared" ref="F21:F39" si="0">IF(ISERROR(E21/D21), 0, IF(C21="# of Customers", E21/D21/12/$D$13, E21/D21/$D$13))</f>
        <v>-2.0367936900567512E-3</v>
      </c>
      <c r="G21" t="str">
        <f t="shared" ref="G21:G39" si="1">IF(C21="", "", IF(C21="# of Customers", "per customer per month", "$/"&amp;C21))</f>
        <v>$/kWh</v>
      </c>
    </row>
    <row r="22" spans="2:7" x14ac:dyDescent="0.2">
      <c r="B22" s="101" t="str">
        <f>IF(ISBLANK('4. Billing Determinants'!B23), "", '4. Billing Determinants'!B23)</f>
        <v>General Service 50 to 4,999 kW</v>
      </c>
      <c r="C22" s="208" t="s">
        <v>307</v>
      </c>
      <c r="D22" s="104">
        <f>IF(C22="", 0, IF(C22="kWh", '4. Billing Determinants'!E23, IF(C22="kW", '4. Billing Determinants'!F23, '4. Billing Determinants'!D23)))</f>
        <v>335700</v>
      </c>
      <c r="E22" s="105">
        <f>HLOOKUP($B22, '5. Allocation of Balances'!$C$4:$Y$50, 47,FALSE)</f>
        <v>-326654.9579643209</v>
      </c>
      <c r="F22" s="115">
        <f t="shared" si="0"/>
        <v>-0.97305617505010689</v>
      </c>
      <c r="G22" t="str">
        <f t="shared" si="1"/>
        <v>$/kW</v>
      </c>
    </row>
    <row r="23" spans="2:7" x14ac:dyDescent="0.2">
      <c r="B23" s="101" t="str">
        <f>IF(ISBLANK('4. Billing Determinants'!B24), "", '4. Billing Determinants'!B24)</f>
        <v>Sentinel Lighting</v>
      </c>
      <c r="C23" s="208" t="str">
        <f>IF(ISBLANK('4. Billing Determinants'!C24), "", '4. Billing Determinants'!C24)</f>
        <v>kW</v>
      </c>
      <c r="D23" s="104">
        <f>IF(C23="", 0, IF(C23="kWh", '4. Billing Determinants'!E24, IF(C23="kW", '4. Billing Determinants'!F24, '4. Billing Determinants'!D24)))</f>
        <v>892</v>
      </c>
      <c r="E23" s="105">
        <f>HLOOKUP($B23, '5. Allocation of Balances'!$C$4:$Y$50, 47,FALSE)</f>
        <v>5280.0890264145655</v>
      </c>
      <c r="F23" s="115">
        <f t="shared" si="0"/>
        <v>5.9193823166082575</v>
      </c>
      <c r="G23" t="str">
        <f t="shared" si="1"/>
        <v>$/kW</v>
      </c>
    </row>
    <row r="24" spans="2:7" x14ac:dyDescent="0.2">
      <c r="B24" s="101" t="str">
        <f>IF(ISBLANK('4. Billing Determinants'!B25), "", '4. Billing Determinants'!B25)</f>
        <v>Street Lighting</v>
      </c>
      <c r="C24" s="208" t="s">
        <v>307</v>
      </c>
      <c r="D24" s="104">
        <f>IF(C24="", 0, IF(C24="kWh", '4. Billing Determinants'!E25, IF(C24="kW", '4. Billing Determinants'!F25, '4. Billing Determinants'!D25)))</f>
        <v>6564</v>
      </c>
      <c r="E24" s="105">
        <f>HLOOKUP($B24, '5. Allocation of Balances'!$C$4:$Y$50, 47,FALSE)</f>
        <v>-10234.689511453453</v>
      </c>
      <c r="F24" s="115">
        <f t="shared" si="0"/>
        <v>-1.5592153430002214</v>
      </c>
      <c r="G24" t="str">
        <f t="shared" si="1"/>
        <v>$/kW</v>
      </c>
    </row>
    <row r="25" spans="2:7" x14ac:dyDescent="0.2">
      <c r="B25" s="101" t="str">
        <f>IF(ISBLANK('4. Billing Determinants'!B26), "", '4. Billing Determinants'!B26)</f>
        <v>Unmetered Scattered Load</v>
      </c>
      <c r="C25" s="208" t="str">
        <f>IF(ISBLANK('4. Billing Determinants'!C26), "", '4. Billing Determinants'!C26)</f>
        <v>kWh</v>
      </c>
      <c r="D25" s="104">
        <f>IF(C25="", 0, IF(C25="kWh", '4. Billing Determinants'!E26, IF(C25="kW", '4. Billing Determinants'!F26, '4. Billing Determinants'!D26)))</f>
        <v>350485</v>
      </c>
      <c r="E25" s="105">
        <f>HLOOKUP($B25, '5. Allocation of Balances'!$C$4:$Y$50, 47,FALSE)</f>
        <v>-140.27098969831559</v>
      </c>
      <c r="F25" s="115">
        <f t="shared" si="0"/>
        <v>-4.0021966617206326E-4</v>
      </c>
      <c r="G25" t="str">
        <f t="shared" si="1"/>
        <v>$/kWh</v>
      </c>
    </row>
    <row r="26" spans="2:7" x14ac:dyDescent="0.2">
      <c r="B26" s="101" t="str">
        <f>IF(ISBLANK('4. Billing Determinants'!B27), "", '4. Billing Determinants'!B27)</f>
        <v/>
      </c>
      <c r="C26" s="208" t="str">
        <f>IF(ISBLANK('4. Billing Determinants'!C27), "", '4. Billing Determinants'!C27)</f>
        <v/>
      </c>
      <c r="D26" s="104">
        <f>IF(C26="", 0, IF(C26="kWh", '4. Billing Determinants'!E27, IF(C26="kW", '4. Billing Determinants'!F27, '4. Billing Determinants'!D27)))</f>
        <v>0</v>
      </c>
      <c r="E26" s="105">
        <f>HLOOKUP($B26, '5. Allocation of Balances'!$C$4:$Y$50, 47,FALSE)</f>
        <v>0</v>
      </c>
      <c r="F26" s="115">
        <f t="shared" si="0"/>
        <v>0</v>
      </c>
      <c r="G26" t="str">
        <f t="shared" si="1"/>
        <v/>
      </c>
    </row>
    <row r="27" spans="2:7" x14ac:dyDescent="0.2">
      <c r="B27" s="101" t="str">
        <f>IF(ISBLANK('4. Billing Determinants'!B28), "", '4. Billing Determinants'!B28)</f>
        <v/>
      </c>
      <c r="C27" s="208" t="str">
        <f>IF(ISBLANK('4. Billing Determinants'!C28), "", '4. Billing Determinants'!C28)</f>
        <v/>
      </c>
      <c r="D27" s="104">
        <f>IF(C27="", 0, IF(C27="kWh", '4. Billing Determinants'!E28, IF(C27="kW", '4. Billing Determinants'!F28, '4. Billing Determinants'!D28)))</f>
        <v>0</v>
      </c>
      <c r="E27" s="105">
        <f>HLOOKUP($B27, '5. Allocation of Balances'!$C$4:$Y$50, 47,FALSE)</f>
        <v>0</v>
      </c>
      <c r="F27" s="115">
        <f t="shared" si="0"/>
        <v>0</v>
      </c>
      <c r="G27" t="str">
        <f t="shared" si="1"/>
        <v/>
      </c>
    </row>
    <row r="28" spans="2:7" x14ac:dyDescent="0.2">
      <c r="B28" s="101" t="str">
        <f>IF(ISBLANK('4. Billing Determinants'!B29), "", '4. Billing Determinants'!B29)</f>
        <v/>
      </c>
      <c r="C28" s="208" t="str">
        <f>IF(ISBLANK('4. Billing Determinants'!C29), "", '4. Billing Determinants'!C29)</f>
        <v/>
      </c>
      <c r="D28" s="104">
        <f>IF(C28="", 0, IF(C28="kWh", '4. Billing Determinants'!E29, IF(C28="kW", '4. Billing Determinants'!F29, '4. Billing Determinants'!D29)))</f>
        <v>0</v>
      </c>
      <c r="E28" s="105">
        <f>HLOOKUP($B28, '5. Allocation of Balances'!$C$4:$Y$50, 47,FALSE)</f>
        <v>0</v>
      </c>
      <c r="F28" s="115">
        <f t="shared" si="0"/>
        <v>0</v>
      </c>
      <c r="G28" t="str">
        <f t="shared" si="1"/>
        <v/>
      </c>
    </row>
    <row r="29" spans="2:7" x14ac:dyDescent="0.2">
      <c r="B29" s="101" t="str">
        <f>IF(ISBLANK('4. Billing Determinants'!B30), "", '4. Billing Determinants'!B30)</f>
        <v/>
      </c>
      <c r="C29" s="208" t="str">
        <f>IF(ISBLANK('4. Billing Determinants'!C30), "", '4. Billing Determinants'!C30)</f>
        <v/>
      </c>
      <c r="D29" s="104">
        <f>IF(C29="", 0, IF(C29="kWh", '4. Billing Determinants'!E30, IF(C29="kW", '4. Billing Determinants'!F30, '4. Billing Determinants'!D30)))</f>
        <v>0</v>
      </c>
      <c r="E29" s="105">
        <f>HLOOKUP($B29, '5. Allocation of Balances'!$C$4:$Y$50, 47,FALSE)</f>
        <v>0</v>
      </c>
      <c r="F29" s="115">
        <f t="shared" si="0"/>
        <v>0</v>
      </c>
      <c r="G29" t="str">
        <f t="shared" si="1"/>
        <v/>
      </c>
    </row>
    <row r="30" spans="2:7" x14ac:dyDescent="0.2">
      <c r="B30" s="101" t="str">
        <f>IF(ISBLANK('4. Billing Determinants'!B31), "", '4. Billing Determinants'!B31)</f>
        <v/>
      </c>
      <c r="C30" s="208" t="str">
        <f>IF(ISBLANK('4. Billing Determinants'!C31), "", '4. Billing Determinants'!C31)</f>
        <v/>
      </c>
      <c r="D30" s="104">
        <f>IF(C30="", 0, IF(C30="kWh", '4. Billing Determinants'!E31, IF(C30="kW", '4. Billing Determinants'!F31, '4. Billing Determinants'!D31)))</f>
        <v>0</v>
      </c>
      <c r="E30" s="105">
        <f>HLOOKUP($B30, '5. Allocation of Balances'!$C$4:$Y$50, 47,FALSE)</f>
        <v>0</v>
      </c>
      <c r="F30" s="115">
        <f t="shared" si="0"/>
        <v>0</v>
      </c>
      <c r="G30" t="str">
        <f t="shared" si="1"/>
        <v/>
      </c>
    </row>
    <row r="31" spans="2:7" x14ac:dyDescent="0.2">
      <c r="B31" s="101" t="str">
        <f>IF(ISBLANK('4. Billing Determinants'!B32), "", '4. Billing Determinants'!B32)</f>
        <v/>
      </c>
      <c r="C31" s="208" t="str">
        <f>IF(ISBLANK('4. Billing Determinants'!C32), "", '4. Billing Determinants'!C32)</f>
        <v/>
      </c>
      <c r="D31" s="104">
        <f>IF(C31="", 0, IF(C31="kWh", '4. Billing Determinants'!E32, IF(C31="kW", '4. Billing Determinants'!F32, '4. Billing Determinants'!D32)))</f>
        <v>0</v>
      </c>
      <c r="E31" s="105">
        <f>HLOOKUP($B31, '5. Allocation of Balances'!$C$4:$Y$50, 47,FALSE)</f>
        <v>0</v>
      </c>
      <c r="F31" s="115">
        <f t="shared" si="0"/>
        <v>0</v>
      </c>
      <c r="G31" t="str">
        <f t="shared" si="1"/>
        <v/>
      </c>
    </row>
    <row r="32" spans="2:7" x14ac:dyDescent="0.2">
      <c r="B32" s="101" t="str">
        <f>IF(ISBLANK('4. Billing Determinants'!B33), "", '4. Billing Determinants'!B33)</f>
        <v/>
      </c>
      <c r="C32" s="208" t="str">
        <f>IF(ISBLANK('4. Billing Determinants'!C33), "", '4. Billing Determinants'!C33)</f>
        <v/>
      </c>
      <c r="D32" s="104">
        <f>IF(C32="", 0, IF(C32="kWh", '4. Billing Determinants'!E33, IF(C32="kW", '4. Billing Determinants'!F33, '4. Billing Determinants'!D33)))</f>
        <v>0</v>
      </c>
      <c r="E32" s="105">
        <f>HLOOKUP($B32, '5. Allocation of Balances'!$C$4:$Y$50, 47,FALSE)</f>
        <v>0</v>
      </c>
      <c r="F32" s="115">
        <f t="shared" si="0"/>
        <v>0</v>
      </c>
      <c r="G32" t="str">
        <f t="shared" si="1"/>
        <v/>
      </c>
    </row>
    <row r="33" spans="2:9" x14ac:dyDescent="0.2">
      <c r="B33" s="101" t="str">
        <f>IF(ISBLANK('4. Billing Determinants'!B34), "", '4. Billing Determinants'!B34)</f>
        <v/>
      </c>
      <c r="C33" s="208"/>
      <c r="D33" s="104">
        <f>IF(C33="", 0, IF(C33="kWh", '4. Billing Determinants'!E34, IF(C33="kW", '4. Billing Determinants'!F34, '4. Billing Determinants'!D34)))</f>
        <v>0</v>
      </c>
      <c r="E33" s="105">
        <f>HLOOKUP($B33, '5. Allocation of Balances'!$C$4:$Y$50, 47,FALSE)</f>
        <v>0</v>
      </c>
      <c r="F33" s="115">
        <f t="shared" si="0"/>
        <v>0</v>
      </c>
      <c r="G33" t="str">
        <f t="shared" si="1"/>
        <v/>
      </c>
    </row>
    <row r="34" spans="2:9" x14ac:dyDescent="0.2">
      <c r="B34" s="101" t="str">
        <f>IF(ISBLANK('4. Billing Determinants'!B35), "", '4. Billing Determinants'!B35)</f>
        <v/>
      </c>
      <c r="C34" s="208" t="str">
        <f>IF(ISBLANK('4. Billing Determinants'!C35), "", '4. Billing Determinants'!C35)</f>
        <v/>
      </c>
      <c r="D34" s="104">
        <f>IF(C34="", 0, IF(C34="kWh", '4. Billing Determinants'!E35, IF(C34="kW", '4. Billing Determinants'!F35, '4. Billing Determinants'!D35)))</f>
        <v>0</v>
      </c>
      <c r="E34" s="105">
        <f>HLOOKUP($B34, '5. Allocation of Balances'!$C$4:$Y$50, 47,FALSE)</f>
        <v>0</v>
      </c>
      <c r="F34" s="115">
        <f t="shared" si="0"/>
        <v>0</v>
      </c>
      <c r="G34" t="str">
        <f t="shared" si="1"/>
        <v/>
      </c>
    </row>
    <row r="35" spans="2:9" x14ac:dyDescent="0.2">
      <c r="B35" s="101" t="str">
        <f>IF(ISBLANK('4. Billing Determinants'!B36), "", '4. Billing Determinants'!B36)</f>
        <v/>
      </c>
      <c r="C35" s="208" t="str">
        <f>IF(ISBLANK('4. Billing Determinants'!C36), "", '4. Billing Determinants'!C36)</f>
        <v/>
      </c>
      <c r="D35" s="104">
        <f>IF(C35="", 0, IF(C35="kWh", '4. Billing Determinants'!E36, IF(C35="kW", '4. Billing Determinants'!F36, '4. Billing Determinants'!D36)))</f>
        <v>0</v>
      </c>
      <c r="E35" s="105">
        <f>HLOOKUP($B35, '5. Allocation of Balances'!$C$4:$Y$50, 47,FALSE)</f>
        <v>0</v>
      </c>
      <c r="F35" s="115">
        <f t="shared" si="0"/>
        <v>0</v>
      </c>
      <c r="G35" t="str">
        <f t="shared" si="1"/>
        <v/>
      </c>
    </row>
    <row r="36" spans="2:9" x14ac:dyDescent="0.2">
      <c r="B36" s="101" t="str">
        <f>IF(ISBLANK('4. Billing Determinants'!B37), "", '4. Billing Determinants'!B37)</f>
        <v/>
      </c>
      <c r="C36" s="208" t="str">
        <f>IF(ISBLANK('4. Billing Determinants'!C37), "", '4. Billing Determinants'!C37)</f>
        <v/>
      </c>
      <c r="D36" s="104">
        <f>IF(C36="", 0, IF(C36="kWh", '4. Billing Determinants'!E37, IF(C36="kW", '4. Billing Determinants'!F37, '4. Billing Determinants'!D37)))</f>
        <v>0</v>
      </c>
      <c r="E36" s="105">
        <f>HLOOKUP($B36, '5. Allocation of Balances'!$C$4:$Y$50, 47,FALSE)</f>
        <v>0</v>
      </c>
      <c r="F36" s="115">
        <f t="shared" si="0"/>
        <v>0</v>
      </c>
      <c r="G36" t="str">
        <f t="shared" si="1"/>
        <v/>
      </c>
    </row>
    <row r="37" spans="2:9" x14ac:dyDescent="0.2">
      <c r="B37" s="101" t="str">
        <f>IF(ISBLANK('4. Billing Determinants'!B38), "", '4. Billing Determinants'!B38)</f>
        <v/>
      </c>
      <c r="C37" s="208" t="str">
        <f>IF(ISBLANK('4. Billing Determinants'!C38), "", '4. Billing Determinants'!C38)</f>
        <v/>
      </c>
      <c r="D37" s="104">
        <f>IF(C37="", 0, IF(C37="kWh", '4. Billing Determinants'!E38, IF(C37="kW", '4. Billing Determinants'!F38, '4. Billing Determinants'!D38)))</f>
        <v>0</v>
      </c>
      <c r="E37" s="105">
        <f>HLOOKUP($B37, '5. Allocation of Balances'!$C$4:$Y$50, 47,FALSE)</f>
        <v>0</v>
      </c>
      <c r="F37" s="115">
        <f t="shared" si="0"/>
        <v>0</v>
      </c>
      <c r="G37" t="str">
        <f t="shared" si="1"/>
        <v/>
      </c>
    </row>
    <row r="38" spans="2:9" x14ac:dyDescent="0.2">
      <c r="B38" s="101" t="str">
        <f>IF(ISBLANK('4. Billing Determinants'!B39), "", '4. Billing Determinants'!B39)</f>
        <v/>
      </c>
      <c r="C38" s="208" t="str">
        <f>IF(ISBLANK('4. Billing Determinants'!C39), "", '4. Billing Determinants'!C39)</f>
        <v/>
      </c>
      <c r="D38" s="104">
        <f>IF(C38="", 0, IF(C38="kWh", '4. Billing Determinants'!E39, IF(C38="kW", '4. Billing Determinants'!F39, '4. Billing Determinants'!D39)))</f>
        <v>0</v>
      </c>
      <c r="E38" s="105">
        <f>HLOOKUP($B38, '5. Allocation of Balances'!$C$4:$Y$50, 47,FALSE)</f>
        <v>0</v>
      </c>
      <c r="F38" s="115">
        <f t="shared" si="0"/>
        <v>0</v>
      </c>
      <c r="G38" t="str">
        <f t="shared" si="1"/>
        <v/>
      </c>
      <c r="I38" s="121"/>
    </row>
    <row r="39" spans="2:9" x14ac:dyDescent="0.2">
      <c r="B39" s="101" t="str">
        <f>IF(ISBLANK('4. Billing Determinants'!B40), "", '4. Billing Determinants'!B40)</f>
        <v/>
      </c>
      <c r="C39" s="208" t="str">
        <f>IF(ISBLANK('4. Billing Determinants'!C40), "", '4. Billing Determinants'!C40)</f>
        <v/>
      </c>
      <c r="D39" s="104">
        <f>IF(C39="", 0, IF(C39="kWh", '4. Billing Determinants'!E40, IF(C39="kW", '4. Billing Determinants'!F40, '4. Billing Determinants'!D40)))</f>
        <v>0</v>
      </c>
      <c r="E39" s="105">
        <f>HLOOKUP($B39, '5. Allocation of Balances'!$C$4:$Y$50, 47,FALSE)</f>
        <v>0</v>
      </c>
      <c r="F39" s="115">
        <f t="shared" si="0"/>
        <v>0</v>
      </c>
      <c r="G39" t="str">
        <f t="shared" si="1"/>
        <v/>
      </c>
    </row>
    <row r="40" spans="2:9" x14ac:dyDescent="0.2">
      <c r="B40" s="111" t="s">
        <v>144</v>
      </c>
      <c r="C40" s="112"/>
      <c r="D40" s="113"/>
      <c r="E40" s="114">
        <f>SUM(E20:E39)</f>
        <v>-678578.59499999997</v>
      </c>
      <c r="F40" s="111"/>
    </row>
    <row r="43" spans="2:9" ht="18" x14ac:dyDescent="0.25">
      <c r="B43" s="120" t="s">
        <v>293</v>
      </c>
    </row>
    <row r="45" spans="2:9" x14ac:dyDescent="0.2">
      <c r="B45" s="279" t="s">
        <v>158</v>
      </c>
      <c r="C45" s="278" t="s">
        <v>143</v>
      </c>
      <c r="D45" s="285" t="s">
        <v>296</v>
      </c>
      <c r="E45" s="285" t="s">
        <v>294</v>
      </c>
      <c r="F45" s="287" t="s">
        <v>295</v>
      </c>
    </row>
    <row r="46" spans="2:9" ht="54.75" customHeight="1" x14ac:dyDescent="0.2">
      <c r="B46" s="280"/>
      <c r="C46" s="278"/>
      <c r="D46" s="286"/>
      <c r="E46" s="286"/>
      <c r="F46" s="287"/>
    </row>
    <row r="47" spans="2:9" x14ac:dyDescent="0.2">
      <c r="B47" s="101" t="str">
        <f t="shared" ref="B47:B66" si="2">B20</f>
        <v>Residential</v>
      </c>
      <c r="C47" s="208" t="s">
        <v>306</v>
      </c>
      <c r="D47" s="104">
        <f>IF(C47="", 0, IF(C47="kWh", '4. Billing Determinants'!G21, IF(C47="kW", '4. Billing Determinants'!H21, '4. Billing Determinants'!D21)))</f>
        <v>17041738</v>
      </c>
      <c r="E47" s="105">
        <f>HLOOKUP($B20, '5. Allocation of Balances'!$C$4:$Y$51, 48,FALSE)</f>
        <v>73554.485140340577</v>
      </c>
      <c r="F47" s="115">
        <f>IF(ISERROR(E47/D47), 0, IF(C47="# of Customers", E47/D47/12/$D$13, E47/D47/$D$13))</f>
        <v>4.316137540686318E-3</v>
      </c>
      <c r="G47" t="str">
        <f>IF(C47="", "", IF(C47="# of Customers", "per customer per month", "$/"&amp;C47))</f>
        <v>$/kWh</v>
      </c>
    </row>
    <row r="48" spans="2:9" x14ac:dyDescent="0.2">
      <c r="B48" s="101" t="str">
        <f t="shared" si="2"/>
        <v>General Service Less Than 50 kW</v>
      </c>
      <c r="C48" s="208" t="s">
        <v>306</v>
      </c>
      <c r="D48" s="104">
        <f>IF(C48="", 0, IF(C48="kWh", '4. Billing Determinants'!G22, IF(C48="kW", '4. Billing Determinants'!H22, '4. Billing Determinants'!D22)))</f>
        <v>14831016</v>
      </c>
      <c r="E48" s="105">
        <f>HLOOKUP($B21, '5. Allocation of Balances'!$C$4:$Y$51, 48,FALSE)</f>
        <v>64012.70492411944</v>
      </c>
      <c r="F48" s="115">
        <f t="shared" ref="F48:F66" si="3">IF(ISERROR(E48/D48), 0, IF(C48="# of Customers", E48/D48/12/$D$13, E48/D48/$D$13))</f>
        <v>4.316137540686318E-3</v>
      </c>
      <c r="G48" t="str">
        <f t="shared" ref="G48:G66" si="4">IF(C48="", "", IF(C48="# of Customers", "per customer per month", "$/"&amp;C48))</f>
        <v>$/kWh</v>
      </c>
    </row>
    <row r="49" spans="2:7" x14ac:dyDescent="0.2">
      <c r="B49" s="101" t="str">
        <f t="shared" si="2"/>
        <v>General Service 50 to 4,999 kW</v>
      </c>
      <c r="C49" s="208" t="s">
        <v>307</v>
      </c>
      <c r="D49" s="104">
        <f>IF(C49="", 0, IF(C49="kWh", '4. Billing Determinants'!G23, IF(C49="kW", '4. Billing Determinants'!H23, '4. Billing Determinants'!D23)))</f>
        <v>308014.82033757836</v>
      </c>
      <c r="E49" s="105">
        <f>HLOOKUP($B22, '5. Allocation of Balances'!$C$4:$Y$51, 48,FALSE)</f>
        <v>473414.90304568526</v>
      </c>
      <c r="F49" s="115">
        <f t="shared" si="3"/>
        <v>1.5369874167964761</v>
      </c>
      <c r="G49" t="str">
        <f t="shared" si="4"/>
        <v>$/kW</v>
      </c>
    </row>
    <row r="50" spans="2:7" x14ac:dyDescent="0.2">
      <c r="B50" s="101" t="str">
        <f t="shared" si="2"/>
        <v>Sentinel Lighting</v>
      </c>
      <c r="C50" s="208" t="s">
        <v>307</v>
      </c>
      <c r="D50" s="104">
        <f>IF(C50="", 0, IF(C50="kWh", '4. Billing Determinants'!G24, IF(C50="kW", '4. Billing Determinants'!H24, '4. Billing Determinants'!D24)))</f>
        <v>148.09695610181637</v>
      </c>
      <c r="E50" s="105">
        <f>HLOOKUP($B23, '5. Allocation of Balances'!$C$4:$Y$51, 48,FALSE)</f>
        <v>230.00696954317391</v>
      </c>
      <c r="F50" s="115">
        <f t="shared" si="3"/>
        <v>1.5530837067646721</v>
      </c>
      <c r="G50" t="str">
        <f t="shared" si="4"/>
        <v>$/kW</v>
      </c>
    </row>
    <row r="51" spans="2:7" x14ac:dyDescent="0.2">
      <c r="B51" s="101" t="str">
        <f t="shared" si="2"/>
        <v>Street Lighting</v>
      </c>
      <c r="C51" s="208" t="s">
        <v>307</v>
      </c>
      <c r="D51" s="104">
        <f>IF(C51="", 0, IF(C51="kWh", '4. Billing Determinants'!G25, IF(C51="kW", '4. Billing Determinants'!H25, '4. Billing Determinants'!D25)))</f>
        <v>6531.1805294811411</v>
      </c>
      <c r="E51" s="105">
        <f>HLOOKUP($B24, '5. Allocation of Balances'!$C$4:$Y$51, 48,FALSE)</f>
        <v>10115.563224742436</v>
      </c>
      <c r="F51" s="115">
        <f t="shared" si="3"/>
        <v>1.5488108434733545</v>
      </c>
      <c r="G51" t="str">
        <f t="shared" si="4"/>
        <v>$/kW</v>
      </c>
    </row>
    <row r="52" spans="2:7" x14ac:dyDescent="0.2">
      <c r="B52" s="101" t="str">
        <f t="shared" si="2"/>
        <v>Unmetered Scattered Load</v>
      </c>
      <c r="C52" s="208" t="s">
        <v>306</v>
      </c>
      <c r="D52" s="104">
        <f>IF(C52="", 0, IF(C52="kWh", '4. Billing Determinants'!G26, IF(C52="kW", '4. Billing Determinants'!H26, '4. Billing Determinants'!D26)))</f>
        <v>59761</v>
      </c>
      <c r="E52" s="105">
        <f>HLOOKUP($B25, '5. Allocation of Balances'!$C$4:$Y$51, 48,FALSE)</f>
        <v>257.93669556895509</v>
      </c>
      <c r="F52" s="115">
        <f t="shared" si="3"/>
        <v>4.3161375406863189E-3</v>
      </c>
      <c r="G52" t="str">
        <f t="shared" si="4"/>
        <v>$/kWh</v>
      </c>
    </row>
    <row r="53" spans="2:7" x14ac:dyDescent="0.2">
      <c r="B53" s="101" t="str">
        <f t="shared" si="2"/>
        <v/>
      </c>
      <c r="C53" s="208"/>
      <c r="D53" s="104">
        <f>IF(C53="", 0, IF(C53="kWh", '4. Billing Determinants'!G27, IF(C53="kW", '4. Billing Determinants'!H27, '4. Billing Determinants'!D27)))</f>
        <v>0</v>
      </c>
      <c r="E53" s="105">
        <f>HLOOKUP($B26, '5. Allocation of Balances'!$C$4:$Y$51, 48,FALSE)</f>
        <v>0</v>
      </c>
      <c r="F53" s="115">
        <f t="shared" si="3"/>
        <v>0</v>
      </c>
      <c r="G53" t="str">
        <f t="shared" si="4"/>
        <v/>
      </c>
    </row>
    <row r="54" spans="2:7" x14ac:dyDescent="0.2">
      <c r="B54" s="101" t="str">
        <f t="shared" si="2"/>
        <v/>
      </c>
      <c r="C54" s="208" t="str">
        <f>IF(ISBLANK('4. Billing Determinants'!C52), "", '4. Billing Determinants'!C52)</f>
        <v/>
      </c>
      <c r="D54" s="104">
        <f>IF(C54="", 0, IF(C54="kWh", '4. Billing Determinants'!G28, IF(C54="kW", '4. Billing Determinants'!H28, '4. Billing Determinants'!D28)))</f>
        <v>0</v>
      </c>
      <c r="E54" s="105">
        <f>HLOOKUP($B27, '5. Allocation of Balances'!$C$4:$Y$51, 48,FALSE)</f>
        <v>0</v>
      </c>
      <c r="F54" s="115">
        <f t="shared" si="3"/>
        <v>0</v>
      </c>
      <c r="G54" t="str">
        <f t="shared" si="4"/>
        <v/>
      </c>
    </row>
    <row r="55" spans="2:7" x14ac:dyDescent="0.2">
      <c r="B55" s="101" t="str">
        <f t="shared" si="2"/>
        <v/>
      </c>
      <c r="C55" s="208" t="str">
        <f>IF(ISBLANK('4. Billing Determinants'!C53), "", '4. Billing Determinants'!C53)</f>
        <v/>
      </c>
      <c r="D55" s="104">
        <f>IF(C55="", 0, IF(C55="kWh", '4. Billing Determinants'!G29, IF(C55="kW", '4. Billing Determinants'!H29, '4. Billing Determinants'!D29)))</f>
        <v>0</v>
      </c>
      <c r="E55" s="105">
        <f>HLOOKUP($B28, '5. Allocation of Balances'!$C$4:$Y$51, 48,FALSE)</f>
        <v>0</v>
      </c>
      <c r="F55" s="115">
        <f t="shared" si="3"/>
        <v>0</v>
      </c>
      <c r="G55" t="str">
        <f t="shared" si="4"/>
        <v/>
      </c>
    </row>
    <row r="56" spans="2:7" x14ac:dyDescent="0.2">
      <c r="B56" s="101" t="str">
        <f t="shared" si="2"/>
        <v/>
      </c>
      <c r="C56" s="208"/>
      <c r="D56" s="104">
        <f>IF(C56="", 0, IF(C56="kWh", '4. Billing Determinants'!G30, IF(C56="kW", '4. Billing Determinants'!H30, '4. Billing Determinants'!D30)))</f>
        <v>0</v>
      </c>
      <c r="E56" s="105">
        <f>HLOOKUP($B29, '5. Allocation of Balances'!$C$4:$Y$51, 48,FALSE)</f>
        <v>0</v>
      </c>
      <c r="F56" s="115">
        <f t="shared" si="3"/>
        <v>0</v>
      </c>
      <c r="G56" t="str">
        <f t="shared" si="4"/>
        <v/>
      </c>
    </row>
    <row r="57" spans="2:7" x14ac:dyDescent="0.2">
      <c r="B57" s="101" t="str">
        <f t="shared" si="2"/>
        <v/>
      </c>
      <c r="C57" s="208" t="str">
        <f>IF(ISBLANK('4. Billing Determinants'!C55), "", '4. Billing Determinants'!C55)</f>
        <v/>
      </c>
      <c r="D57" s="104">
        <f>IF(C57="", 0, IF(C57="kWh", '4. Billing Determinants'!G31, IF(C57="kW", '4. Billing Determinants'!H31, '4. Billing Determinants'!D31)))</f>
        <v>0</v>
      </c>
      <c r="E57" s="105">
        <f>HLOOKUP($B30, '5. Allocation of Balances'!$C$4:$Y$51, 48,FALSE)</f>
        <v>0</v>
      </c>
      <c r="F57" s="115">
        <f t="shared" si="3"/>
        <v>0</v>
      </c>
      <c r="G57" t="str">
        <f t="shared" si="4"/>
        <v/>
      </c>
    </row>
    <row r="58" spans="2:7" x14ac:dyDescent="0.2">
      <c r="B58" s="101" t="str">
        <f t="shared" si="2"/>
        <v/>
      </c>
      <c r="C58" s="208"/>
      <c r="D58" s="104">
        <f>IF(C58="", 0, IF(C58="kWh", '4. Billing Determinants'!G32, IF(C58="kW", '4. Billing Determinants'!H32, '4. Billing Determinants'!D32)))</f>
        <v>0</v>
      </c>
      <c r="E58" s="105">
        <f>HLOOKUP($B31, '5. Allocation of Balances'!$C$4:$Y$51, 48,FALSE)</f>
        <v>0</v>
      </c>
      <c r="F58" s="115">
        <f t="shared" si="3"/>
        <v>0</v>
      </c>
      <c r="G58" t="str">
        <f t="shared" si="4"/>
        <v/>
      </c>
    </row>
    <row r="59" spans="2:7" x14ac:dyDescent="0.2">
      <c r="B59" s="101" t="str">
        <f t="shared" si="2"/>
        <v/>
      </c>
      <c r="C59" s="208" t="str">
        <f>IF(ISBLANK('4. Billing Determinants'!C57), "", '4. Billing Determinants'!C57)</f>
        <v/>
      </c>
      <c r="D59" s="104">
        <f>IF(C59="", 0, IF(C59="kWh", '4. Billing Determinants'!G33, IF(C59="kW", '4. Billing Determinants'!H33, '4. Billing Determinants'!D33)))</f>
        <v>0</v>
      </c>
      <c r="E59" s="105">
        <f>HLOOKUP($B32, '5. Allocation of Balances'!$C$4:$Y$51, 48,FALSE)</f>
        <v>0</v>
      </c>
      <c r="F59" s="115">
        <f t="shared" si="3"/>
        <v>0</v>
      </c>
      <c r="G59" t="str">
        <f t="shared" si="4"/>
        <v/>
      </c>
    </row>
    <row r="60" spans="2:7" x14ac:dyDescent="0.2">
      <c r="B60" s="101" t="str">
        <f t="shared" si="2"/>
        <v/>
      </c>
      <c r="C60" s="208" t="str">
        <f>IF(ISBLANK('4. Billing Determinants'!C58), "", '4. Billing Determinants'!C58)</f>
        <v/>
      </c>
      <c r="D60" s="104">
        <f>IF(C60="", 0, IF(C60="kWh", '4. Billing Determinants'!G34, IF(C60="kW", '4. Billing Determinants'!H34, '4. Billing Determinants'!D34)))</f>
        <v>0</v>
      </c>
      <c r="E60" s="105">
        <f>HLOOKUP($B33, '5. Allocation of Balances'!$C$4:$Y$51, 48,FALSE)</f>
        <v>0</v>
      </c>
      <c r="F60" s="115">
        <f t="shared" si="3"/>
        <v>0</v>
      </c>
      <c r="G60" t="str">
        <f t="shared" si="4"/>
        <v/>
      </c>
    </row>
    <row r="61" spans="2:7" x14ac:dyDescent="0.2">
      <c r="B61" s="101" t="str">
        <f t="shared" si="2"/>
        <v/>
      </c>
      <c r="C61" s="208" t="str">
        <f>IF(ISBLANK('4. Billing Determinants'!C59), "", '4. Billing Determinants'!C59)</f>
        <v/>
      </c>
      <c r="D61" s="104">
        <f>IF(C61="", 0, IF(C61="kWh", '4. Billing Determinants'!G35, IF(C61="kW", '4. Billing Determinants'!H35, '4. Billing Determinants'!D35)))</f>
        <v>0</v>
      </c>
      <c r="E61" s="105">
        <f>HLOOKUP($B34, '5. Allocation of Balances'!$C$4:$Y$51, 48,FALSE)</f>
        <v>0</v>
      </c>
      <c r="F61" s="115">
        <f t="shared" si="3"/>
        <v>0</v>
      </c>
      <c r="G61" t="str">
        <f t="shared" si="4"/>
        <v/>
      </c>
    </row>
    <row r="62" spans="2:7" x14ac:dyDescent="0.2">
      <c r="B62" s="101" t="str">
        <f t="shared" si="2"/>
        <v/>
      </c>
      <c r="C62" s="208"/>
      <c r="D62" s="104">
        <f>IF(C62="", 0, IF(C62="kWh", '4. Billing Determinants'!G36, IF(C62="kW", '4. Billing Determinants'!H36, '4. Billing Determinants'!D36)))</f>
        <v>0</v>
      </c>
      <c r="E62" s="105">
        <f>HLOOKUP($B35, '5. Allocation of Balances'!$C$4:$Y$51, 48,FALSE)</f>
        <v>0</v>
      </c>
      <c r="F62" s="115">
        <f t="shared" si="3"/>
        <v>0</v>
      </c>
      <c r="G62" t="str">
        <f t="shared" si="4"/>
        <v/>
      </c>
    </row>
    <row r="63" spans="2:7" x14ac:dyDescent="0.2">
      <c r="B63" s="101" t="str">
        <f t="shared" si="2"/>
        <v/>
      </c>
      <c r="C63" s="208" t="str">
        <f>IF(ISBLANK('4. Billing Determinants'!C61), "", '4. Billing Determinants'!C61)</f>
        <v/>
      </c>
      <c r="D63" s="104">
        <f>IF(C63="", 0, IF(C63="kWh", '4. Billing Determinants'!G37, IF(C63="kW", '4. Billing Determinants'!H37, '4. Billing Determinants'!D37)))</f>
        <v>0</v>
      </c>
      <c r="E63" s="105">
        <f>HLOOKUP($B36, '5. Allocation of Balances'!$C$4:$Y$51, 48,FALSE)</f>
        <v>0</v>
      </c>
      <c r="F63" s="115">
        <f t="shared" si="3"/>
        <v>0</v>
      </c>
      <c r="G63" t="str">
        <f t="shared" si="4"/>
        <v/>
      </c>
    </row>
    <row r="64" spans="2:7" x14ac:dyDescent="0.2">
      <c r="B64" s="101" t="str">
        <f t="shared" si="2"/>
        <v/>
      </c>
      <c r="C64" s="208" t="str">
        <f>IF(ISBLANK('4. Billing Determinants'!C62), "", '4. Billing Determinants'!C62)</f>
        <v/>
      </c>
      <c r="D64" s="104">
        <f>IF(C64="", 0, IF(C64="kWh", '4. Billing Determinants'!G38, IF(C64="kW", '4. Billing Determinants'!H38, '4. Billing Determinants'!D38)))</f>
        <v>0</v>
      </c>
      <c r="E64" s="105">
        <f>HLOOKUP($B37, '5. Allocation of Balances'!$C$4:$Y$51, 48,FALSE)</f>
        <v>0</v>
      </c>
      <c r="F64" s="115">
        <f t="shared" si="3"/>
        <v>0</v>
      </c>
      <c r="G64" t="str">
        <f t="shared" si="4"/>
        <v/>
      </c>
    </row>
    <row r="65" spans="2:7" x14ac:dyDescent="0.2">
      <c r="B65" s="101" t="str">
        <f t="shared" si="2"/>
        <v/>
      </c>
      <c r="C65" s="208" t="str">
        <f>IF(ISBLANK('4. Billing Determinants'!C63), "", '4. Billing Determinants'!C63)</f>
        <v/>
      </c>
      <c r="D65" s="104">
        <f>IF(C65="", 0, IF(C65="kWh", '4. Billing Determinants'!G39, IF(C65="kW", '4. Billing Determinants'!H39, '4. Billing Determinants'!D39)))</f>
        <v>0</v>
      </c>
      <c r="E65" s="105">
        <f>HLOOKUP($B38, '5. Allocation of Balances'!$C$4:$Y$51, 48,FALSE)</f>
        <v>0</v>
      </c>
      <c r="F65" s="115">
        <f t="shared" si="3"/>
        <v>0</v>
      </c>
      <c r="G65" t="str">
        <f t="shared" si="4"/>
        <v/>
      </c>
    </row>
    <row r="66" spans="2:7" x14ac:dyDescent="0.2">
      <c r="B66" s="101" t="str">
        <f t="shared" si="2"/>
        <v/>
      </c>
      <c r="C66" s="208" t="str">
        <f>IF(ISBLANK('4. Billing Determinants'!C64), "", '4. Billing Determinants'!C64)</f>
        <v/>
      </c>
      <c r="D66" s="104">
        <f>IF(C66="", 0, IF(C66="kWh", '4. Billing Determinants'!G40, IF(C66="kW", '4. Billing Determinants'!H40, '4. Billing Determinants'!D40)))</f>
        <v>0</v>
      </c>
      <c r="E66" s="105">
        <f>HLOOKUP($B39, '5. Allocation of Balances'!$C$4:$Y$51, 48,FALSE)</f>
        <v>0</v>
      </c>
      <c r="F66" s="115">
        <f t="shared" si="3"/>
        <v>0</v>
      </c>
      <c r="G66" t="str">
        <f t="shared" si="4"/>
        <v/>
      </c>
    </row>
    <row r="67" spans="2:7" x14ac:dyDescent="0.2">
      <c r="B67" s="111" t="s">
        <v>144</v>
      </c>
      <c r="C67" s="112"/>
      <c r="D67" s="113"/>
      <c r="E67" s="114">
        <f>SUM(E47:E66)</f>
        <v>621585.59999999986</v>
      </c>
      <c r="F67" s="111"/>
    </row>
    <row r="69" spans="2:7" ht="18" x14ac:dyDescent="0.25">
      <c r="B69" s="120" t="s">
        <v>206</v>
      </c>
    </row>
    <row r="70" spans="2:7" ht="18" x14ac:dyDescent="0.25">
      <c r="B70" s="120"/>
    </row>
    <row r="71" spans="2:7" x14ac:dyDescent="0.2">
      <c r="B71" s="116" t="s">
        <v>165</v>
      </c>
      <c r="C71" s="117"/>
      <c r="D71" s="118">
        <v>5</v>
      </c>
    </row>
    <row r="73" spans="2:7" x14ac:dyDescent="0.2">
      <c r="B73" s="279" t="s">
        <v>158</v>
      </c>
      <c r="C73" s="278" t="s">
        <v>143</v>
      </c>
      <c r="D73" s="285" t="s">
        <v>166</v>
      </c>
      <c r="E73" s="285" t="s">
        <v>207</v>
      </c>
      <c r="F73" s="287" t="s">
        <v>208</v>
      </c>
    </row>
    <row r="74" spans="2:7" ht="25.5" customHeight="1" x14ac:dyDescent="0.2">
      <c r="B74" s="280"/>
      <c r="C74" s="278"/>
      <c r="D74" s="286"/>
      <c r="E74" s="286"/>
      <c r="F74" s="287"/>
    </row>
    <row r="75" spans="2:7" x14ac:dyDescent="0.2">
      <c r="B75" s="101" t="str">
        <f>B20</f>
        <v>Residential</v>
      </c>
      <c r="C75" s="208" t="s">
        <v>306</v>
      </c>
      <c r="D75" s="104">
        <f>IF(C75="", 0, IF(C75="kWh", '4. Billing Determinants'!E21, IF(C75="kW", '4. Billing Determinants'!F21, '4. Billing Determinants'!D21)))</f>
        <v>169468358</v>
      </c>
      <c r="E75" s="105">
        <f>HLOOKUP($B75, '5. Allocation of Balances'!$C$4:$Y$56, 53,FALSE)</f>
        <v>-1272776.4169217146</v>
      </c>
      <c r="F75" s="115">
        <f>IF(ISERROR(E75/D75), 0, IF(C75="# of Customers", E75/D75/12/$D$71, E75/D75/$D$71))</f>
        <v>-1.5020814881816634E-3</v>
      </c>
    </row>
    <row r="76" spans="2:7" x14ac:dyDescent="0.2">
      <c r="B76" s="101" t="str">
        <f t="shared" ref="B76:B94" si="5">B21</f>
        <v>General Service Less Than 50 kW</v>
      </c>
      <c r="C76" s="208" t="s">
        <v>306</v>
      </c>
      <c r="D76" s="104">
        <f>IF(C76="", 0, IF(C76="kWh", '4. Billing Determinants'!E22, IF(C76="kW", '4. Billing Determinants'!F22, '4. Billing Determinants'!D22)))</f>
        <v>53958437</v>
      </c>
      <c r="E76" s="105">
        <f>HLOOKUP($B76, '5. Allocation of Balances'!$C$4:$Y$56, 53,FALSE)</f>
        <v>-282159.63450144517</v>
      </c>
      <c r="F76" s="115">
        <f t="shared" ref="F76:F94" si="6">IF(ISERROR(E76/D76), 0, IF(C76="# of Customers", E76/D76/12/$D$71, E76/D76/$D$71))</f>
        <v>-1.0458406513941284E-3</v>
      </c>
    </row>
    <row r="77" spans="2:7" x14ac:dyDescent="0.2">
      <c r="B77" s="101" t="str">
        <f t="shared" si="5"/>
        <v>General Service 50 to 4,999 kW</v>
      </c>
      <c r="C77" s="208" t="s">
        <v>307</v>
      </c>
      <c r="D77" s="104">
        <f>IF(C77="", 0, IF(C77="kWh", '4. Billing Determinants'!E23, IF(C77="kW", '4. Billing Determinants'!F23, '4. Billing Determinants'!D23)))</f>
        <v>335700</v>
      </c>
      <c r="E77" s="105">
        <f>HLOOKUP($B77, '5. Allocation of Balances'!$C$4:$Y$56, 53,FALSE)</f>
        <v>-233972.52341527649</v>
      </c>
      <c r="F77" s="115">
        <f t="shared" si="6"/>
        <v>-0.13939381794177924</v>
      </c>
    </row>
    <row r="78" spans="2:7" x14ac:dyDescent="0.2">
      <c r="B78" s="101" t="str">
        <f t="shared" si="5"/>
        <v>Sentinel Lighting</v>
      </c>
      <c r="C78" s="208" t="s">
        <v>307</v>
      </c>
      <c r="D78" s="104">
        <f>IF(C78="", 0, IF(C78="kWh", '4. Billing Determinants'!E24, IF(C78="kW", '4. Billing Determinants'!F24, '4. Billing Determinants'!D24)))</f>
        <v>892</v>
      </c>
      <c r="E78" s="105">
        <f>HLOOKUP($B78, '5. Allocation of Balances'!$C$4:$Y$56, 53,FALSE)</f>
        <v>-18578.050867403887</v>
      </c>
      <c r="F78" s="115">
        <f t="shared" si="6"/>
        <v>-4.1654822572654453</v>
      </c>
    </row>
    <row r="79" spans="2:7" x14ac:dyDescent="0.2">
      <c r="B79" s="101" t="str">
        <f t="shared" si="5"/>
        <v>Street Lighting</v>
      </c>
      <c r="C79" s="208" t="s">
        <v>307</v>
      </c>
      <c r="D79" s="104">
        <f>IF(C79="", 0, IF(C79="kWh", '4. Billing Determinants'!E25, IF(C79="kW", '4. Billing Determinants'!F25, '4. Billing Determinants'!D25)))</f>
        <v>6564</v>
      </c>
      <c r="E79" s="105">
        <f>HLOOKUP($B79, '5. Allocation of Balances'!$C$4:$Y$56, 53,FALSE)</f>
        <v>-47359.50065645772</v>
      </c>
      <c r="F79" s="115">
        <f t="shared" si="6"/>
        <v>-1.4430073326160184</v>
      </c>
    </row>
    <row r="80" spans="2:7" x14ac:dyDescent="0.2">
      <c r="B80" s="101" t="str">
        <f t="shared" si="5"/>
        <v>Unmetered Scattered Load</v>
      </c>
      <c r="C80" s="208" t="s">
        <v>306</v>
      </c>
      <c r="D80" s="104">
        <f>IF(C80="", 0, IF(C80="kWh", '4. Billing Determinants'!E26, IF(C80="kW", '4. Billing Determinants'!F26, '4. Billing Determinants'!D26)))</f>
        <v>350485</v>
      </c>
      <c r="E80" s="105">
        <f>HLOOKUP($B80, '5. Allocation of Balances'!$C$4:$Y$56, 53,FALSE)</f>
        <v>-2621.8736377022778</v>
      </c>
      <c r="F80" s="115">
        <f t="shared" si="6"/>
        <v>-1.4961402842930669E-3</v>
      </c>
    </row>
    <row r="81" spans="2:6" x14ac:dyDescent="0.2">
      <c r="B81" s="101" t="str">
        <f t="shared" si="5"/>
        <v/>
      </c>
      <c r="C81" s="208"/>
      <c r="D81" s="104">
        <f>IF(C81="", 0, IF(C81="kWh", '4. Billing Determinants'!E27, IF(C81="kW", '4. Billing Determinants'!F27, '4. Billing Determinants'!D27)))</f>
        <v>0</v>
      </c>
      <c r="E81" s="105">
        <f>HLOOKUP($B81, '5. Allocation of Balances'!$C$4:$Y$56, 53,FALSE)</f>
        <v>0</v>
      </c>
      <c r="F81" s="115">
        <f t="shared" si="6"/>
        <v>0</v>
      </c>
    </row>
    <row r="82" spans="2:6" x14ac:dyDescent="0.2">
      <c r="B82" s="101" t="str">
        <f t="shared" si="5"/>
        <v/>
      </c>
      <c r="C82" s="208" t="str">
        <f>IF(ISBLANK('4. Billing Determinants'!C78), "", '4. Billing Determinants'!C78)</f>
        <v/>
      </c>
      <c r="D82" s="104">
        <f>IF(C82="", 0, IF(C82="kWh", '4. Billing Determinants'!E28, IF(C82="kW", '4. Billing Determinants'!F28, '4. Billing Determinants'!D28)))</f>
        <v>0</v>
      </c>
      <c r="E82" s="105">
        <f>HLOOKUP($B82, '5. Allocation of Balances'!$C$4:$Y$56, 53,FALSE)</f>
        <v>0</v>
      </c>
      <c r="F82" s="115">
        <f t="shared" si="6"/>
        <v>0</v>
      </c>
    </row>
    <row r="83" spans="2:6" x14ac:dyDescent="0.2">
      <c r="B83" s="101" t="str">
        <f t="shared" si="5"/>
        <v/>
      </c>
      <c r="C83" s="208" t="str">
        <f>IF(ISBLANK('4. Billing Determinants'!C79), "", '4. Billing Determinants'!C79)</f>
        <v/>
      </c>
      <c r="D83" s="104">
        <f>IF(C83="", 0, IF(C83="kWh", '4. Billing Determinants'!E29, IF(C83="kW", '4. Billing Determinants'!F29, '4. Billing Determinants'!D29)))</f>
        <v>0</v>
      </c>
      <c r="E83" s="105">
        <f>HLOOKUP($B83, '5. Allocation of Balances'!$C$4:$Y$56, 53,FALSE)</f>
        <v>0</v>
      </c>
      <c r="F83" s="115">
        <f t="shared" si="6"/>
        <v>0</v>
      </c>
    </row>
    <row r="84" spans="2:6" x14ac:dyDescent="0.2">
      <c r="B84" s="101" t="str">
        <f t="shared" si="5"/>
        <v/>
      </c>
      <c r="C84" s="208"/>
      <c r="D84" s="104">
        <f>IF(C84="", 0, IF(C84="kWh", '4. Billing Determinants'!E30, IF(C84="kW", '4. Billing Determinants'!F30, '4. Billing Determinants'!D30)))</f>
        <v>0</v>
      </c>
      <c r="E84" s="105">
        <f>HLOOKUP($B84, '5. Allocation of Balances'!$C$4:$Y$56, 53,FALSE)</f>
        <v>0</v>
      </c>
      <c r="F84" s="115">
        <f t="shared" si="6"/>
        <v>0</v>
      </c>
    </row>
    <row r="85" spans="2:6" x14ac:dyDescent="0.2">
      <c r="B85" s="101" t="str">
        <f t="shared" si="5"/>
        <v/>
      </c>
      <c r="C85" s="208" t="str">
        <f>IF(ISBLANK('4. Billing Determinants'!C81), "", '4. Billing Determinants'!C81)</f>
        <v/>
      </c>
      <c r="D85" s="104">
        <f>IF(C85="", 0, IF(C85="kWh", '4. Billing Determinants'!E31, IF(C85="kW", '4. Billing Determinants'!F31, '4. Billing Determinants'!D31)))</f>
        <v>0</v>
      </c>
      <c r="E85" s="105">
        <f>HLOOKUP($B85, '5. Allocation of Balances'!$C$4:$Y$56, 53,FALSE)</f>
        <v>0</v>
      </c>
      <c r="F85" s="115">
        <f t="shared" si="6"/>
        <v>0</v>
      </c>
    </row>
    <row r="86" spans="2:6" x14ac:dyDescent="0.2">
      <c r="B86" s="101" t="str">
        <f t="shared" si="5"/>
        <v/>
      </c>
      <c r="C86" s="208" t="str">
        <f>IF(ISBLANK('4. Billing Determinants'!C82), "", '4. Billing Determinants'!C82)</f>
        <v/>
      </c>
      <c r="D86" s="104">
        <f>IF(C86="", 0, IF(C86="kWh", '4. Billing Determinants'!E32, IF(C86="kW", '4. Billing Determinants'!F32, '4. Billing Determinants'!D32)))</f>
        <v>0</v>
      </c>
      <c r="E86" s="105">
        <f>HLOOKUP($B86, '5. Allocation of Balances'!$C$4:$Y$56, 53,FALSE)</f>
        <v>0</v>
      </c>
      <c r="F86" s="115">
        <f t="shared" si="6"/>
        <v>0</v>
      </c>
    </row>
    <row r="87" spans="2:6" x14ac:dyDescent="0.2">
      <c r="B87" s="101" t="str">
        <f t="shared" si="5"/>
        <v/>
      </c>
      <c r="C87" s="208" t="str">
        <f>IF(ISBLANK('4. Billing Determinants'!C83), "", '4. Billing Determinants'!C83)</f>
        <v/>
      </c>
      <c r="D87" s="104">
        <f>IF(C87="", 0, IF(C87="kWh", '4. Billing Determinants'!E33, IF(C87="kW", '4. Billing Determinants'!F33, '4. Billing Determinants'!D33)))</f>
        <v>0</v>
      </c>
      <c r="E87" s="105">
        <f>HLOOKUP($B87, '5. Allocation of Balances'!$C$4:$Y$56, 53,FALSE)</f>
        <v>0</v>
      </c>
      <c r="F87" s="115">
        <f t="shared" si="6"/>
        <v>0</v>
      </c>
    </row>
    <row r="88" spans="2:6" x14ac:dyDescent="0.2">
      <c r="B88" s="101" t="str">
        <f t="shared" si="5"/>
        <v/>
      </c>
      <c r="C88" s="208" t="str">
        <f>IF(ISBLANK('4. Billing Determinants'!C84), "", '4. Billing Determinants'!C84)</f>
        <v/>
      </c>
      <c r="D88" s="104">
        <f>IF(C88="", 0, IF(C88="kWh", '4. Billing Determinants'!E34, IF(C88="kW", '4. Billing Determinants'!F34, '4. Billing Determinants'!D34)))</f>
        <v>0</v>
      </c>
      <c r="E88" s="105">
        <f>HLOOKUP($B88, '5. Allocation of Balances'!$C$4:$Y$56, 53,FALSE)</f>
        <v>0</v>
      </c>
      <c r="F88" s="115">
        <f t="shared" si="6"/>
        <v>0</v>
      </c>
    </row>
    <row r="89" spans="2:6" x14ac:dyDescent="0.2">
      <c r="B89" s="101" t="str">
        <f t="shared" si="5"/>
        <v/>
      </c>
      <c r="C89" s="208" t="str">
        <f>IF(ISBLANK('4. Billing Determinants'!C85), "", '4. Billing Determinants'!C85)</f>
        <v/>
      </c>
      <c r="D89" s="104">
        <f>IF(C89="", 0, IF(C89="kWh", '4. Billing Determinants'!E35, IF(C89="kW", '4. Billing Determinants'!F35, '4. Billing Determinants'!D35)))</f>
        <v>0</v>
      </c>
      <c r="E89" s="105">
        <f>HLOOKUP($B89, '5. Allocation of Balances'!$C$4:$Y$56, 53,FALSE)</f>
        <v>0</v>
      </c>
      <c r="F89" s="115">
        <f t="shared" si="6"/>
        <v>0</v>
      </c>
    </row>
    <row r="90" spans="2:6" x14ac:dyDescent="0.2">
      <c r="B90" s="101" t="str">
        <f t="shared" si="5"/>
        <v/>
      </c>
      <c r="C90" s="208" t="str">
        <f>IF(ISBLANK('4. Billing Determinants'!C86), "", '4. Billing Determinants'!C86)</f>
        <v/>
      </c>
      <c r="D90" s="104">
        <f>IF(C90="", 0, IF(C90="kWh", '4. Billing Determinants'!E36, IF(C90="kW", '4. Billing Determinants'!F36, '4. Billing Determinants'!D36)))</f>
        <v>0</v>
      </c>
      <c r="E90" s="105">
        <f>HLOOKUP($B90, '5. Allocation of Balances'!$C$4:$Y$56, 53,FALSE)</f>
        <v>0</v>
      </c>
      <c r="F90" s="115">
        <f t="shared" si="6"/>
        <v>0</v>
      </c>
    </row>
    <row r="91" spans="2:6" x14ac:dyDescent="0.2">
      <c r="B91" s="101" t="str">
        <f t="shared" si="5"/>
        <v/>
      </c>
      <c r="C91" s="208" t="str">
        <f>IF(ISBLANK('4. Billing Determinants'!C87), "", '4. Billing Determinants'!C87)</f>
        <v/>
      </c>
      <c r="D91" s="104">
        <f>IF(C91="", 0, IF(C91="kWh", '4. Billing Determinants'!E37, IF(C91="kW", '4. Billing Determinants'!F37, '4. Billing Determinants'!D37)))</f>
        <v>0</v>
      </c>
      <c r="E91" s="105">
        <f>HLOOKUP($B91, '5. Allocation of Balances'!$C$4:$Y$56, 53,FALSE)</f>
        <v>0</v>
      </c>
      <c r="F91" s="115">
        <f t="shared" si="6"/>
        <v>0</v>
      </c>
    </row>
    <row r="92" spans="2:6" x14ac:dyDescent="0.2">
      <c r="B92" s="101" t="str">
        <f t="shared" si="5"/>
        <v/>
      </c>
      <c r="C92" s="208" t="str">
        <f>IF(ISBLANK('4. Billing Determinants'!C88), "", '4. Billing Determinants'!C88)</f>
        <v/>
      </c>
      <c r="D92" s="104">
        <f>IF(C92="", 0, IF(C92="kWh", '4. Billing Determinants'!E38, IF(C92="kW", '4. Billing Determinants'!F38, '4. Billing Determinants'!D38)))</f>
        <v>0</v>
      </c>
      <c r="E92" s="105">
        <f>HLOOKUP($B92, '5. Allocation of Balances'!$C$4:$Y$56, 53,FALSE)</f>
        <v>0</v>
      </c>
      <c r="F92" s="115">
        <f t="shared" si="6"/>
        <v>0</v>
      </c>
    </row>
    <row r="93" spans="2:6" x14ac:dyDescent="0.2">
      <c r="B93" s="101" t="str">
        <f t="shared" si="5"/>
        <v/>
      </c>
      <c r="C93" s="208" t="str">
        <f>IF(ISBLANK('4. Billing Determinants'!C89), "", '4. Billing Determinants'!C89)</f>
        <v/>
      </c>
      <c r="D93" s="104">
        <f>IF(C93="", 0, IF(C93="kWh", '4. Billing Determinants'!E39, IF(C93="kW", '4. Billing Determinants'!F39, '4. Billing Determinants'!D39)))</f>
        <v>0</v>
      </c>
      <c r="E93" s="105">
        <f>HLOOKUP($B93, '5. Allocation of Balances'!$C$4:$Y$56, 53,FALSE)</f>
        <v>0</v>
      </c>
      <c r="F93" s="115">
        <f t="shared" si="6"/>
        <v>0</v>
      </c>
    </row>
    <row r="94" spans="2:6" x14ac:dyDescent="0.2">
      <c r="B94" s="101" t="str">
        <f t="shared" si="5"/>
        <v/>
      </c>
      <c r="C94" s="208" t="str">
        <f>IF(ISBLANK('4. Billing Determinants'!C90), "", '4. Billing Determinants'!C90)</f>
        <v/>
      </c>
      <c r="D94" s="104">
        <f>IF(C94="", 0, IF(C94="kWh", '4. Billing Determinants'!E40, IF(C94="kW", '4. Billing Determinants'!F40, '4. Billing Determinants'!D40)))</f>
        <v>0</v>
      </c>
      <c r="E94" s="105">
        <f>HLOOKUP($B94, '5. Allocation of Balances'!$C$4:$Y$56, 53,FALSE)</f>
        <v>0</v>
      </c>
      <c r="F94" s="115">
        <f t="shared" si="6"/>
        <v>0</v>
      </c>
    </row>
    <row r="95" spans="2:6" x14ac:dyDescent="0.2">
      <c r="B95" s="111" t="s">
        <v>144</v>
      </c>
      <c r="C95" s="112"/>
      <c r="D95" s="113"/>
      <c r="E95" s="114">
        <f>SUM(E75:E94)</f>
        <v>-1857468</v>
      </c>
      <c r="F95" s="111"/>
    </row>
  </sheetData>
  <sheetProtection password="F8BD" sheet="1" objects="1" scenarios="1"/>
  <mergeCells count="15">
    <mergeCell ref="B73:B74"/>
    <mergeCell ref="C73:C74"/>
    <mergeCell ref="D73:D74"/>
    <mergeCell ref="E73:E74"/>
    <mergeCell ref="F73:F74"/>
    <mergeCell ref="B45:B46"/>
    <mergeCell ref="C45:C46"/>
    <mergeCell ref="D18:D19"/>
    <mergeCell ref="E18:E19"/>
    <mergeCell ref="F18:F19"/>
    <mergeCell ref="E45:E46"/>
    <mergeCell ref="F45:F46"/>
    <mergeCell ref="D45:D46"/>
    <mergeCell ref="B18:B19"/>
    <mergeCell ref="C18:C19"/>
  </mergeCells>
  <conditionalFormatting sqref="C20:C39">
    <cfRule type="cellIs" dxfId="4" priority="8" operator="equal">
      <formula>"kW"</formula>
    </cfRule>
  </conditionalFormatting>
  <conditionalFormatting sqref="G20:G39">
    <cfRule type="cellIs" dxfId="3" priority="5" operator="equal">
      <formula>"$/kW"</formula>
    </cfRule>
  </conditionalFormatting>
  <conditionalFormatting sqref="G47:G66">
    <cfRule type="cellIs" dxfId="2" priority="4" operator="equal">
      <formula>"$/kW"</formula>
    </cfRule>
  </conditionalFormatting>
  <conditionalFormatting sqref="C47:C66">
    <cfRule type="cellIs" dxfId="1" priority="2" operator="equal">
      <formula>"kW"</formula>
    </cfRule>
  </conditionalFormatting>
  <conditionalFormatting sqref="C75:C94">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7:C66 C75:C94">
      <formula1>"kWh, kW, # of Customers"</formula1>
    </dataValidation>
    <dataValidation type="list" allowBlank="1" showInputMessage="1" showErrorMessage="1" sqref="D71">
      <formula1>"1,2,3,4,5"</formula1>
    </dataValidation>
  </dataValidations>
  <printOptions horizontalCentered="1"/>
  <pageMargins left="0.23622047244094499" right="0.23622047244094499" top="0.99803149599999996" bottom="0.55118110236220497" header="0.31496062992126" footer="0.31496062992126"/>
  <pageSetup scale="65" orientation="landscape" r:id="rId1"/>
  <headerFooter>
    <oddHeader>&amp;RHaldimand County Hydro Inc.
EB-2013-0134
Settlement Proposal
APPENDIX L
Filed:  April 4, 2014
Page &amp;P of &amp;N</oddHeader>
  </headerFooter>
  <rowBreaks count="1" manualBreakCount="1">
    <brk id="42" max="8"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1. Information Sheet</vt:lpstr>
      <vt:lpstr>2. 2013 Continuity Schedule</vt:lpstr>
      <vt:lpstr>3. Appendix A</vt:lpstr>
      <vt:lpstr>4. Billing Determinants</vt:lpstr>
      <vt:lpstr>5. Allocation of Balances</vt:lpstr>
      <vt:lpstr>6. Rate Rider Calculations</vt:lpstr>
      <vt:lpstr>'1. Information Sheet'!Print_Area</vt:lpstr>
      <vt:lpstr>'2. 2013 Continuity Schedule'!Print_Area</vt:lpstr>
      <vt:lpstr>'3. Appendix A'!Print_Area</vt:lpstr>
      <vt:lpstr>'5. Allocation of Balances'!Print_Area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Sherry Graham</cp:lastModifiedBy>
  <cp:lastPrinted>2014-03-31T19:39:11Z</cp:lastPrinted>
  <dcterms:created xsi:type="dcterms:W3CDTF">2005-04-25T20:13:02Z</dcterms:created>
  <dcterms:modified xsi:type="dcterms:W3CDTF">2014-03-31T19:40:03Z</dcterms:modified>
</cp:coreProperties>
</file>