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596" firstSheet="4" activeTab="6"/>
  </bookViews>
  <sheets>
    <sheet name="Inputs HONI" sheetId="1" r:id="rId1"/>
    <sheet name="Calculated LV Charge HONI" sheetId="2" r:id="rId2"/>
    <sheet name="Cost Allocation-OM&amp;A Breakdown" sheetId="3" r:id="rId3"/>
    <sheet name="Inputs HONI (PMU's Only)" sheetId="4" r:id="rId4"/>
    <sheet name="Cost Allocation-OM&amp;A (PMU's)" sheetId="5" r:id="rId5"/>
    <sheet name="Inputs HONI (Air Products)" sheetId="6" r:id="rId6"/>
    <sheet name="Cost Allocation-OM&amp;A (AirProd)" sheetId="7" r:id="rId7"/>
  </sheets>
  <definedNames>
    <definedName name="_xlnm.Print_Titles" localSheetId="0">'Inputs HONI'!$1:$2</definedName>
    <definedName name="_xlnm.Print_Titles" localSheetId="5">'Inputs HONI (Air Products)'!$1:$2</definedName>
    <definedName name="_xlnm.Print_Titles" localSheetId="3">'Inputs HONI (PMU''s Only)'!$1:$2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Sherry Graham</author>
  </authors>
  <commentList>
    <comment ref="C20" authorId="0">
      <text>
        <r>
          <rPr>
            <b/>
            <sz val="11"/>
            <rFont val="Arial"/>
            <family val="2"/>
          </rPr>
          <t>Sherry Graham: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Arial"/>
            <family val="2"/>
          </rPr>
          <t>Average of report for period "May 1, 2013 through April 30, 2014" and report for period "November 1, 2012 through October 1, 2013"</t>
        </r>
      </text>
    </comment>
  </commentList>
</comments>
</file>

<file path=xl/comments2.xml><?xml version="1.0" encoding="utf-8"?>
<comments xmlns="http://schemas.openxmlformats.org/spreadsheetml/2006/main">
  <authors>
    <author>Sherry Graham</author>
  </authors>
  <commentList>
    <comment ref="E25" authorId="0">
      <text>
        <r>
          <rPr>
            <b/>
            <sz val="9"/>
            <rFont val="Tahoma"/>
            <family val="2"/>
          </rPr>
          <t>Sherry Graham:</t>
        </r>
        <r>
          <rPr>
            <sz val="9"/>
            <rFont val="Tahoma"/>
            <family val="2"/>
          </rPr>
          <t xml:space="preserve">
Per Calculations in Cost Allocation Model - Total PILs allocated by % of LV NBV Assets over NBV of Assets providing LV Services</t>
        </r>
      </text>
    </comment>
    <comment ref="C25" authorId="0">
      <text>
        <r>
          <rPr>
            <b/>
            <sz val="9"/>
            <rFont val="Tahoma"/>
            <family val="2"/>
          </rPr>
          <t>Sherry Graham:</t>
        </r>
        <r>
          <rPr>
            <sz val="9"/>
            <rFont val="Tahoma"/>
            <family val="2"/>
          </rPr>
          <t xml:space="preserve">
Per Calculations in Cost Allocation Model - Total PILs allocated by % of LV NBV Assets over NBV of Assets providing LV Services</t>
        </r>
      </text>
    </comment>
  </commentList>
</comments>
</file>

<file path=xl/comments4.xml><?xml version="1.0" encoding="utf-8"?>
<comments xmlns="http://schemas.openxmlformats.org/spreadsheetml/2006/main">
  <authors>
    <author>Sherry Graham</author>
  </authors>
  <commentList>
    <comment ref="C20" authorId="0">
      <text>
        <r>
          <rPr>
            <b/>
            <sz val="11"/>
            <rFont val="Arial"/>
            <family val="2"/>
          </rPr>
          <t>Sherry Graham: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Arial"/>
            <family val="2"/>
          </rPr>
          <t>Average of report for period "May 1, 2013 through April 30, 2014" and report for period "November 1, 2012 through October 1, 2013"</t>
        </r>
      </text>
    </comment>
  </commentList>
</comments>
</file>

<file path=xl/comments5.xml><?xml version="1.0" encoding="utf-8"?>
<comments xmlns="http://schemas.openxmlformats.org/spreadsheetml/2006/main">
  <authors>
    <author>Sherry Graham</author>
  </authors>
  <commentList>
    <comment ref="G79" authorId="0">
      <text>
        <r>
          <rPr>
            <b/>
            <sz val="8"/>
            <rFont val="Tahoma"/>
            <family val="2"/>
          </rPr>
          <t>Sherry Graham:</t>
        </r>
        <r>
          <rPr>
            <sz val="8"/>
            <rFont val="Tahoma"/>
            <family val="2"/>
          </rPr>
          <t xml:space="preserve">
Represents 2014 HONI forecasted load at the 7 PMU's multiplied by HONI's Jan.1/14 Common Sub-Transmission 
(does not include Air Products)
Does not include monthly s/c - only charged once on each account - would pay regardless of embedded situation.</t>
        </r>
      </text>
    </comment>
    <comment ref="G80" authorId="0">
      <text>
        <r>
          <rPr>
            <b/>
            <sz val="8"/>
            <rFont val="Tahoma"/>
            <family val="2"/>
          </rPr>
          <t>Sherry Graham:</t>
        </r>
        <r>
          <rPr>
            <sz val="8"/>
            <rFont val="Tahoma"/>
            <family val="2"/>
          </rPr>
          <t xml:space="preserve">
Represents 2014 HONI forecasted load at the 3 PMU's (3rd, 4th, &amp; 6th Lines) off of the Lythmore DS multiplied by HONI's Jan.1/14 Low Voltage DS Charge 
Does not include monthly s/c - only charged once on each account - would pay regardless of embedded situation.</t>
        </r>
      </text>
    </comment>
    <comment ref="G83" authorId="0">
      <text>
        <r>
          <rPr>
            <b/>
            <sz val="8"/>
            <rFont val="Tahoma"/>
            <family val="2"/>
          </rPr>
          <t>Sherry Graham:</t>
        </r>
        <r>
          <rPr>
            <sz val="8"/>
            <rFont val="Tahoma"/>
            <family val="2"/>
          </rPr>
          <t xml:space="preserve">
Represents portion of meter charge at Lythmore DS allocated to cost to provide LV Services to HONI (rate effective Jan.1/14)</t>
        </r>
      </text>
    </comment>
    <comment ref="C46" authorId="0">
      <text>
        <r>
          <rPr>
            <b/>
            <sz val="8"/>
            <rFont val="Tahoma"/>
            <family val="2"/>
          </rPr>
          <t>Sherry Graham:</t>
        </r>
        <r>
          <rPr>
            <sz val="8"/>
            <rFont val="Tahoma"/>
            <family val="2"/>
          </rPr>
          <t xml:space="preserve">
No HCHI owned assets utilized for the 7 PMU embedded points other than the meter.  (costs for meter handled directly in cost allocation model)
Therefore, no allocation of OM&amp;A costs associated with the 7 PMU embedded points.</t>
        </r>
      </text>
    </comment>
    <comment ref="E6" authorId="0">
      <text>
        <r>
          <rPr>
            <b/>
            <sz val="8"/>
            <rFont val="Tahoma"/>
            <family val="2"/>
          </rPr>
          <t>Sherry Graham:</t>
        </r>
        <r>
          <rPr>
            <sz val="8"/>
            <rFont val="Tahoma"/>
            <family val="2"/>
          </rPr>
          <t xml:space="preserve">
No HCHI owned assets utilized for the 7 PMU embedded points other than the meter.  (costs for meter handled directly in cost allocation model)</t>
        </r>
      </text>
    </comment>
    <comment ref="G74" authorId="0">
      <text>
        <r>
          <rPr>
            <b/>
            <sz val="8"/>
            <rFont val="Tahoma"/>
            <family val="2"/>
          </rPr>
          <t>Sherry Graham:</t>
        </r>
        <r>
          <rPr>
            <sz val="8"/>
            <rFont val="Tahoma"/>
            <family val="2"/>
          </rPr>
          <t xml:space="preserve">
No HCHI owned assets utilized for the 7 PMU embedded points other than the meter.  (costs for meter handled directly in cost allocation model)
Therefore, no allocation of OM&amp;A costs associated with the 7 PMU embedded points.</t>
        </r>
      </text>
    </comment>
  </commentList>
</comments>
</file>

<file path=xl/comments6.xml><?xml version="1.0" encoding="utf-8"?>
<comments xmlns="http://schemas.openxmlformats.org/spreadsheetml/2006/main">
  <authors>
    <author>Sherry Graham</author>
  </authors>
  <commentList>
    <comment ref="C20" authorId="0">
      <text>
        <r>
          <rPr>
            <b/>
            <sz val="11"/>
            <rFont val="Arial"/>
            <family val="2"/>
          </rPr>
          <t>Sherry Graham: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Arial"/>
            <family val="2"/>
          </rPr>
          <t>Average of report for period "May 1, 2013 through April 30, 2014" and report for period "November 1, 2012 through October 1, 2013"</t>
        </r>
      </text>
    </comment>
  </commentList>
</comments>
</file>

<file path=xl/comments7.xml><?xml version="1.0" encoding="utf-8"?>
<comments xmlns="http://schemas.openxmlformats.org/spreadsheetml/2006/main">
  <authors>
    <author>Sherry Graham</author>
  </authors>
  <commentList>
    <comment ref="G84" authorId="0">
      <text>
        <r>
          <rPr>
            <b/>
            <sz val="8"/>
            <rFont val="Tahoma"/>
            <family val="2"/>
          </rPr>
          <t>Sherry Graham:</t>
        </r>
        <r>
          <rPr>
            <sz val="8"/>
            <rFont val="Tahoma"/>
            <family val="2"/>
          </rPr>
          <t xml:space="preserve">
Represents 2010 HONI forecasted load at the 7 PMU's multiplied by HONI's May 1/09 Common Sub-Transmission Charge excluding Rate Riders implemented June 1/09.
(does not include Air Products)</t>
        </r>
      </text>
    </comment>
    <comment ref="G85" authorId="0">
      <text>
        <r>
          <rPr>
            <b/>
            <sz val="8"/>
            <rFont val="Tahoma"/>
            <family val="2"/>
          </rPr>
          <t>Sherry Graham:</t>
        </r>
        <r>
          <rPr>
            <sz val="8"/>
            <rFont val="Tahoma"/>
            <family val="2"/>
          </rPr>
          <t xml:space="preserve">
Represents 2010 HONI forecasted load at the 3 PMU's (3rd, 4th, &amp; 6th Lines) off of the Lythmore DS multiplied by HONI's May 1/09 Low Voltage DS Charge excluding Rate Riders implemented June 1/09.
</t>
        </r>
      </text>
    </comment>
    <comment ref="G88" authorId="0">
      <text>
        <r>
          <rPr>
            <b/>
            <sz val="8"/>
            <rFont val="Tahoma"/>
            <family val="2"/>
          </rPr>
          <t>Sherry Graham:</t>
        </r>
        <r>
          <rPr>
            <sz val="8"/>
            <rFont val="Tahoma"/>
            <family val="2"/>
          </rPr>
          <t xml:space="preserve">
Represents portion of meter charge at Lythmore DS allocated to cost to provide LV Services to HONI (rate effective May 1/09 excluding Rate Riders implemented June 1/09)</t>
        </r>
      </text>
    </comment>
  </commentList>
</comments>
</file>

<file path=xl/sharedStrings.xml><?xml version="1.0" encoding="utf-8"?>
<sst xmlns="http://schemas.openxmlformats.org/spreadsheetml/2006/main" count="1155" uniqueCount="327">
  <si>
    <t>percent</t>
  </si>
  <si>
    <t>Distributor debt rate (deemed)</t>
  </si>
  <si>
    <t>Distributor return on equity before tax (utilized in formula)</t>
  </si>
  <si>
    <t>Asset Class</t>
  </si>
  <si>
    <t>Total annual OM&amp;A costs of asset class providing LV services ($)</t>
  </si>
  <si>
    <t>Original cost of asset class providing LV services</t>
  </si>
  <si>
    <t>Accumulative amortization on asset class providing LV services</t>
  </si>
  <si>
    <t>Annual amortization on asset class providing LV services</t>
  </si>
  <si>
    <t>NBV of asset class providing LV services</t>
  </si>
  <si>
    <t>Distribution Stations</t>
  </si>
  <si>
    <t>Low Voltage lines</t>
  </si>
  <si>
    <t>Share of facilities</t>
  </si>
  <si>
    <t>kW or kVA</t>
  </si>
  <si>
    <t>Total line length or station capacity in asset class (KM)</t>
  </si>
  <si>
    <t>Line length providing LV services (KM)</t>
  </si>
  <si>
    <t>$</t>
  </si>
  <si>
    <t>$/kW or $/kVA</t>
  </si>
  <si>
    <t>Annual Amortization on assets used to provide LV Services</t>
  </si>
  <si>
    <t>Total annual cost associated with assets used to provide LV Services</t>
  </si>
  <si>
    <t>Total annual OM&amp;A costs of asset class providing LV services</t>
  </si>
  <si>
    <t>USoA Accts</t>
  </si>
  <si>
    <t>Transformer Stations</t>
  </si>
  <si>
    <t>Transformer Stations (TS)</t>
  </si>
  <si>
    <t>Ovhd</t>
  </si>
  <si>
    <t>UG</t>
  </si>
  <si>
    <t>1805*, 1806*, 1808*, 1820</t>
  </si>
  <si>
    <t>1805**, 1806**, 1808**, 1815, 1825</t>
  </si>
  <si>
    <t>1840, 1845</t>
  </si>
  <si>
    <t>2105***</t>
  </si>
  <si>
    <t>5705***</t>
  </si>
  <si>
    <t>(B - C = E)</t>
  </si>
  <si>
    <t>(G - H = J)</t>
  </si>
  <si>
    <t>(L - M = O)</t>
  </si>
  <si>
    <t>Deemed equity share</t>
  </si>
  <si>
    <t>Deemed debt share</t>
  </si>
  <si>
    <t>Input cells</t>
  </si>
  <si>
    <t>Calculated Cells</t>
  </si>
  <si>
    <t>Annual Billed Demand (kW or kVA) of Embedded Distributor on Distribution Stations</t>
  </si>
  <si>
    <t>Annual Billed Demand (kW or kVA) Total on Distribution Stations</t>
  </si>
  <si>
    <t>Annual Billed Demand (kW or kVA) of Embedded Distributor on Transformer Stations</t>
  </si>
  <si>
    <t>Annual Billed Demand (kW or kVA) Total on Transformer Stations</t>
  </si>
  <si>
    <t>Annual Billed Demand (kW or kVA) of Embedded Distributor on Low Voltage Lines</t>
  </si>
  <si>
    <t>Annual Billed Demand (kW or kVA) Total on Low Voltage Lines</t>
  </si>
  <si>
    <t>Total Line Length (KM) to provide LV Services</t>
  </si>
  <si>
    <t>Rate Base</t>
  </si>
  <si>
    <t>NBV of assets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</si>
  <si>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</si>
  <si>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</si>
  <si>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</si>
  <si>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</si>
  <si>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</si>
  <si>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</si>
  <si>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</si>
  <si>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</si>
  <si>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</si>
  <si>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</si>
  <si>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</si>
  <si>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</si>
  <si>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</si>
  <si>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</si>
  <si>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</si>
  <si>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Annual amortization on asset class providing LV services </t>
  </si>
  <si>
    <t>P</t>
  </si>
  <si>
    <t>Q</t>
  </si>
  <si>
    <t>R</t>
  </si>
  <si>
    <t>S</t>
  </si>
  <si>
    <t>T</t>
  </si>
  <si>
    <t>U</t>
  </si>
  <si>
    <t>V</t>
  </si>
  <si>
    <t>W</t>
  </si>
  <si>
    <t>X</t>
  </si>
  <si>
    <t xml:space="preserve">Utilization factor                  </t>
  </si>
  <si>
    <t>Monthly kW Rate associated with the delivery of LV Services</t>
  </si>
  <si>
    <t>Working Capital Allowance Percentage</t>
  </si>
  <si>
    <t>( = E )</t>
  </si>
  <si>
    <t>Rate Base - Distribution Stations</t>
  </si>
  <si>
    <t>Rate Base - Transformer Stations</t>
  </si>
  <si>
    <t>( = J )</t>
  </si>
  <si>
    <t>( = O )</t>
  </si>
  <si>
    <t>Low Voltage Lines</t>
  </si>
  <si>
    <t>Rate Base - Low Voltage Lines</t>
  </si>
  <si>
    <t>*        - reallocate TS building and other building costs where necessary</t>
  </si>
  <si>
    <t>**       - amounts re-allocated from Station Buildings &amp; Fixtures expense (if applicable)</t>
  </si>
  <si>
    <t>***      - will need to record portion attributable to the assets providing the LV services</t>
  </si>
  <si>
    <t>Y</t>
  </si>
  <si>
    <t>AA</t>
  </si>
  <si>
    <t>BB</t>
  </si>
  <si>
    <t>CC</t>
  </si>
  <si>
    <t>DD</t>
  </si>
  <si>
    <t>EE</t>
  </si>
  <si>
    <t>FF</t>
  </si>
  <si>
    <t>GG</t>
  </si>
  <si>
    <t>HH</t>
  </si>
  <si>
    <t>Z</t>
  </si>
  <si>
    <t>LL</t>
  </si>
  <si>
    <t>SUM</t>
  </si>
  <si>
    <t>(Note all cells are referenced, no direct input in this sheet)</t>
  </si>
  <si>
    <t>D*Col 11</t>
  </si>
  <si>
    <t>I*Col 11</t>
  </si>
  <si>
    <t>N*Col 11</t>
  </si>
  <si>
    <t>(Col 10/Col 9)</t>
  </si>
  <si>
    <t>****     - if any portion of the account is applicable</t>
  </si>
  <si>
    <t>5005****, 5010*****5012*, 5016, 5017, 5105****, 5110*, 5114</t>
  </si>
  <si>
    <t>5005****, 5010*****, 5012 **, 5014, 5015, 5105****, 5110**, 5112</t>
  </si>
  <si>
    <r>
      <t>5040, 5045, 5050</t>
    </r>
    <r>
      <rPr>
        <sz val="12"/>
        <rFont val="Arial"/>
        <family val="2"/>
      </rPr>
      <t>, 5090</t>
    </r>
  </si>
  <si>
    <t>5020, 5025, 5030, 5095, 5005****, 5010****,</t>
  </si>
  <si>
    <t>Annual billed total demand on station/line providing LV services (kW or kVA)</t>
  </si>
  <si>
    <t>Annual billed Embedded Distributor demand on station/line providing LV services (kW or kVA)</t>
  </si>
  <si>
    <t>Total Line Length (KM) of System (overhead and/or underground as applicable)</t>
  </si>
  <si>
    <t>Distributor tax rate (current tax rate)</t>
  </si>
  <si>
    <t>Administrative Burden Percentage (applicable to all asset classes and OM&amp;A only)</t>
  </si>
  <si>
    <t>OO</t>
  </si>
  <si>
    <t>PP</t>
  </si>
  <si>
    <t>QQ</t>
  </si>
  <si>
    <t>RR</t>
  </si>
  <si>
    <r>
      <rPr>
        <i/>
        <u val="single"/>
        <sz val="12"/>
        <rFont val="Arial"/>
        <family val="2"/>
      </rPr>
      <t>Working Capital Allowance</t>
    </r>
    <r>
      <rPr>
        <i/>
        <sz val="12"/>
        <rFont val="Arial"/>
        <family val="2"/>
      </rPr>
      <t>:</t>
    </r>
    <r>
      <rPr>
        <sz val="12"/>
        <rFont val="Arial"/>
        <family val="2"/>
      </rPr>
      <t xml:space="preserve"> </t>
    </r>
  </si>
  <si>
    <t xml:space="preserve">OM&amp;A Costs with Administration Burden </t>
  </si>
  <si>
    <t>OM&amp;A with Administration Burden</t>
  </si>
  <si>
    <t>Power Supply Expenses:</t>
  </si>
  <si>
    <t>Energy Sales (if applicable)</t>
  </si>
  <si>
    <t>SS</t>
  </si>
  <si>
    <t>Rates charged for calcuation of Energy Sales for Working Capital Allowance</t>
  </si>
  <si>
    <t>Commodity (per kWh)</t>
  </si>
  <si>
    <t>Transmission Network</t>
  </si>
  <si>
    <t>Transmission Connection</t>
  </si>
  <si>
    <t>TT</t>
  </si>
  <si>
    <t>UU</t>
  </si>
  <si>
    <t xml:space="preserve">VV </t>
  </si>
  <si>
    <t>WW</t>
  </si>
  <si>
    <t>WMS (if applicable)</t>
  </si>
  <si>
    <t>(BB X VV)</t>
  </si>
  <si>
    <t>(BB X WW)</t>
  </si>
  <si>
    <t>( = PP )</t>
  </si>
  <si>
    <t>PILs Calculation</t>
  </si>
  <si>
    <t>Equity Portion of WACC</t>
  </si>
  <si>
    <t>Weighted Average Cost of Capital (WACC)</t>
  </si>
  <si>
    <t>Target Net Income before consideration of PILS</t>
  </si>
  <si>
    <t>(Y x XX)</t>
  </si>
  <si>
    <t>XX</t>
  </si>
  <si>
    <t>(SS x TT)</t>
  </si>
  <si>
    <t>(SS x UU)</t>
  </si>
  <si>
    <t>Target Net Income before consideration of PILS times tax rate = PILs Provision</t>
  </si>
  <si>
    <t>YY</t>
  </si>
  <si>
    <t>(YY x R)</t>
  </si>
  <si>
    <t>ZZ</t>
  </si>
  <si>
    <t>(ZZ / (1 - R)</t>
  </si>
  <si>
    <t>AB</t>
  </si>
  <si>
    <t>AC</t>
  </si>
  <si>
    <t>( = QQ )</t>
  </si>
  <si>
    <t>(AC x TT)</t>
  </si>
  <si>
    <t>(AC x UU)</t>
  </si>
  <si>
    <t>(DD X VV)</t>
  </si>
  <si>
    <t>(DD X WW)</t>
  </si>
  <si>
    <t>AD</t>
  </si>
  <si>
    <t>AE</t>
  </si>
  <si>
    <t>(AE x XX)</t>
  </si>
  <si>
    <t>AF</t>
  </si>
  <si>
    <t>AG</t>
  </si>
  <si>
    <t>AH</t>
  </si>
  <si>
    <t>(AF x R)</t>
  </si>
  <si>
    <t>(AG / (1 - R)</t>
  </si>
  <si>
    <t>1830, 1835, 1850, 1980</t>
  </si>
  <si>
    <t>AI</t>
  </si>
  <si>
    <t>( = RR )</t>
  </si>
  <si>
    <t>((K * (1 + OO) = RR))</t>
  </si>
  <si>
    <t>((F * (1 + OO) = QQ))</t>
  </si>
  <si>
    <t>((A * (1 + OO) = PP))</t>
  </si>
  <si>
    <t>(AI x TT)</t>
  </si>
  <si>
    <t>(AI x UU)</t>
  </si>
  <si>
    <t>(FF X VV)</t>
  </si>
  <si>
    <t>(FF X WW)</t>
  </si>
  <si>
    <t>AJ</t>
  </si>
  <si>
    <t>AK</t>
  </si>
  <si>
    <t>AL</t>
  </si>
  <si>
    <t>AM</t>
  </si>
  <si>
    <t>AN</t>
  </si>
  <si>
    <t>Working Capital</t>
  </si>
  <si>
    <t>Working Capital Allowance</t>
  </si>
  <si>
    <t>X1</t>
  </si>
  <si>
    <t xml:space="preserve">Working Capital </t>
  </si>
  <si>
    <t>(X x V = X1)</t>
  </si>
  <si>
    <t>(W + X1 = Y)</t>
  </si>
  <si>
    <t>AD1</t>
  </si>
  <si>
    <t>(AD1 + Z = AE)</t>
  </si>
  <si>
    <t>AJ1</t>
  </si>
  <si>
    <t>(AD x V = AD1)</t>
  </si>
  <si>
    <t>(AJ x V = AJ1)</t>
  </si>
  <si>
    <t>(AJ1 + LL = AK)</t>
  </si>
  <si>
    <t>With losses</t>
  </si>
  <si>
    <t>(AK x XX)</t>
  </si>
  <si>
    <t>(AL x R)</t>
  </si>
  <si>
    <t>(AM / (1 - R))</t>
  </si>
  <si>
    <t>5120, 5125, 5135,  5035****, 5160****, 5105****</t>
  </si>
  <si>
    <t>5145, 5150, 5055****</t>
  </si>
  <si>
    <t>(Current LDC Retail Rate of Applicable Rate Class)</t>
  </si>
  <si>
    <t>AO</t>
  </si>
  <si>
    <t>AP</t>
  </si>
  <si>
    <t>2007 IRM Adjustment - Sheet 8, Cell D12</t>
  </si>
  <si>
    <t>IPI - X</t>
  </si>
  <si>
    <t>2008 IRM Adjustment (before Tax Adjustment) - Sheet 7, Cells D12 + E12</t>
  </si>
  <si>
    <t>IPI - X - K</t>
  </si>
  <si>
    <t>(Col 8/Col 7) * (Col 10/Col 9)</t>
  </si>
  <si>
    <r>
      <t xml:space="preserve">PILs Provision Grossed Up - </t>
    </r>
    <r>
      <rPr>
        <b/>
        <u val="single"/>
        <sz val="12"/>
        <rFont val="Arial"/>
        <family val="2"/>
      </rPr>
      <t>before</t>
    </r>
    <r>
      <rPr>
        <sz val="12"/>
        <rFont val="Arial"/>
        <family val="2"/>
      </rPr>
      <t xml:space="preserve"> application of Utilization Factor</t>
    </r>
  </si>
  <si>
    <t>PILs</t>
  </si>
  <si>
    <t>(AN*Col 11)</t>
  </si>
  <si>
    <t xml:space="preserve">(AK*S*Col 11)  </t>
  </si>
  <si>
    <t>(AB*Col 11)</t>
  </si>
  <si>
    <t>(AH*Col 11)</t>
  </si>
  <si>
    <t>Return on assets used to provide LV Services</t>
  </si>
  <si>
    <t>(Y*S*Col 11)</t>
  </si>
  <si>
    <t>(AE*S*Col 11)</t>
  </si>
  <si>
    <t>12 (a)</t>
  </si>
  <si>
    <t>15 (a)</t>
  </si>
  <si>
    <t>RR*Col 11</t>
  </si>
  <si>
    <t>QQ*Col 11</t>
  </si>
  <si>
    <t>PP*Col 11</t>
  </si>
  <si>
    <t>*****</t>
  </si>
  <si>
    <t>Sum Col 10]</t>
  </si>
  <si>
    <t>[Sum Col 15 (a)]</t>
  </si>
  <si>
    <r>
      <t>[Sum Col 1</t>
    </r>
    <r>
      <rPr>
        <b/>
        <sz val="8"/>
        <rFont val="Arial"/>
        <family val="2"/>
      </rPr>
      <t>5 (a)</t>
    </r>
  </si>
  <si>
    <t>Sheffield</t>
  </si>
  <si>
    <t>Hydro One</t>
  </si>
  <si>
    <t>Wholesale Market Service Charge (WMS) (per kWh)</t>
  </si>
  <si>
    <t>Transmission Network (per kW)</t>
  </si>
  <si>
    <t>Transmission Connection (per kW)</t>
  </si>
  <si>
    <t xml:space="preserve">(((Col 15*(1+AO))*     (1+AP)) </t>
  </si>
  <si>
    <t xml:space="preserve">*****   - applicable only if  i)  Host Distributor pays IESO for Commodity and WMS Charges for energy consumed by the Embedded Distributor and  </t>
  </si>
  <si>
    <t xml:space="preserve">              ii) recommended methodology is applied by a Host LDC for each Embedded customer, if deriving individual customer rates; </t>
  </si>
  <si>
    <r>
      <t xml:space="preserve">                  </t>
    </r>
    <r>
      <rPr>
        <i/>
        <sz val="12"/>
        <rFont val="Arial"/>
        <family val="2"/>
      </rPr>
      <t>or,</t>
    </r>
    <r>
      <rPr>
        <sz val="12"/>
        <rFont val="Arial"/>
        <family val="2"/>
      </rPr>
      <t xml:space="preserve"> for all  Embedded customers as a group, if developing a pooled rate</t>
    </r>
  </si>
  <si>
    <t>Annual Energy (kWh) of Embedded Distributor on Low Voltage Lines (if applicable)</t>
  </si>
  <si>
    <t>Annual Energy (kWh) of Embedded Distributor on Transformer Stations (if applicable)</t>
  </si>
  <si>
    <t>Annual Energy (kWh) of Embedded Distributor on Distribution Stations (if applicable)</t>
  </si>
  <si>
    <t>EB-2007-0900</t>
  </si>
  <si>
    <t>HCHI does not have an Administrative Burden %</t>
  </si>
  <si>
    <t>Not sure yet why these are used?</t>
  </si>
  <si>
    <t>May also need to include 2009 IRM %</t>
  </si>
  <si>
    <t>Application Info</t>
  </si>
  <si>
    <t>for Annual kW &amp; kWh Billed</t>
  </si>
  <si>
    <t>(Embedded info provided by HONI)</t>
  </si>
  <si>
    <t>UG &amp; OH km</t>
  </si>
  <si>
    <t>Overhead km</t>
  </si>
  <si>
    <t>Total Primary</t>
  </si>
  <si>
    <t>Secondary</t>
  </si>
  <si>
    <t>% Capital, Amort &amp; O&amp;MA</t>
  </si>
  <si>
    <t>original cost of asset class providing LV services</t>
  </si>
  <si>
    <t>Primary feeders</t>
  </si>
  <si>
    <t>km</t>
  </si>
  <si>
    <t>Total line length or station capacity in asset class</t>
  </si>
  <si>
    <t>Line length providing LV services</t>
  </si>
  <si>
    <t>line capacity providing LV services</t>
  </si>
  <si>
    <t>line capacity or station capacity used to provide LV services</t>
  </si>
  <si>
    <t>Utilization factor</t>
  </si>
  <si>
    <t>DIRECT ALLOCATION OF COSTS FOR CAR FILING</t>
  </si>
  <si>
    <t>Poles - original cost of assets used to provide LV Services</t>
  </si>
  <si>
    <t>O/H Conductor - original cost of assets used to provide LV Services</t>
  </si>
  <si>
    <t>Accumulative Amortization on assets used to provide LV Services</t>
  </si>
  <si>
    <t>NBV of asset class used to provide LV services</t>
  </si>
  <si>
    <t>Administration</t>
  </si>
  <si>
    <t>Net Fixed Assets</t>
  </si>
  <si>
    <t>% Net Fixed Assets
(for Admin Costs)</t>
  </si>
  <si>
    <t>A/C 5020</t>
  </si>
  <si>
    <t>A/C 5120</t>
  </si>
  <si>
    <t>A/C 5125</t>
  </si>
  <si>
    <t>A/C 5135</t>
  </si>
  <si>
    <t>A/C 5005</t>
  </si>
  <si>
    <t>A/C 5105</t>
  </si>
  <si>
    <t>Total</t>
  </si>
  <si>
    <t>% Allocated</t>
  </si>
  <si>
    <t>Amount to LV Services</t>
  </si>
  <si>
    <t>A/C 5610</t>
  </si>
  <si>
    <t>A/C 5615</t>
  </si>
  <si>
    <t>A/C 5620</t>
  </si>
  <si>
    <t>A/C 5630</t>
  </si>
  <si>
    <t>A/C 5635</t>
  </si>
  <si>
    <t>A/C 5655</t>
  </si>
  <si>
    <t>A/C 5665</t>
  </si>
  <si>
    <t>A/C 6105</t>
  </si>
  <si>
    <t>** Allocate to 50% to A/C 5610
 and 50% to A/C 5615</t>
  </si>
  <si>
    <t>A/C 5025</t>
  </si>
  <si>
    <t>A/C 5030</t>
  </si>
  <si>
    <t>A/C 5085</t>
  </si>
  <si>
    <t>Capital - 1830</t>
  </si>
  <si>
    <t>Capital - 1835</t>
  </si>
  <si>
    <t>Primary Allocation - Accumulated Amortization</t>
  </si>
  <si>
    <t>Primary Allocation - Capital Cost (less Contributed Capital</t>
  </si>
  <si>
    <t>Primary Allocation - Net Book Value 
(as per Cost Allocation Model)</t>
  </si>
  <si>
    <t>Poles &amp; O/H Conductor Portion of the following:</t>
  </si>
  <si>
    <t>A/C 6110 (Capital Tax Only)</t>
  </si>
  <si>
    <t>(per 2010 Rate Application Rate Base)</t>
  </si>
  <si>
    <t>(per 2010 Rate Application Trial Balance)</t>
  </si>
  <si>
    <t>Amortization Exp. (net of Contr.Capital)</t>
  </si>
  <si>
    <t>O&amp;M</t>
  </si>
  <si>
    <t>Annual amortization on asset class providing LV services 2010</t>
  </si>
  <si>
    <t>Total annual O&amp;M costs of asset class providing LV services</t>
  </si>
  <si>
    <t>LV Charges Paid Directly to Hydro One for Hydro One Load</t>
  </si>
  <si>
    <t>OM &amp; A costs associated with assets used to provide LV Services (include HONI LV Charges on HONI Load)</t>
  </si>
  <si>
    <t>DS Meter Charge</t>
  </si>
  <si>
    <t>O&amp;M cost associated with assets used to provide LV Services plus Administration</t>
  </si>
  <si>
    <t>OM &amp; A cost associated with assets used to provide LV Services plus HONI LV Charge Cost</t>
  </si>
  <si>
    <t>Accumulative Amortization</t>
  </si>
  <si>
    <t>Amortization Expense</t>
  </si>
  <si>
    <t>** Based on Utilization Factor calculated by</t>
  </si>
  <si>
    <t xml:space="preserve">    Engineering (HONI kWh / Total kWh of LV Lines)</t>
  </si>
  <si>
    <r>
      <rPr>
        <b/>
        <i/>
        <sz val="14"/>
        <rFont val="Arial"/>
        <family val="2"/>
      </rPr>
      <t xml:space="preserve">Embedded Distribution Low Voltage Charges - </t>
    </r>
    <r>
      <rPr>
        <b/>
        <i/>
        <sz val="14"/>
        <color indexed="14"/>
        <rFont val="Arial"/>
        <family val="2"/>
      </rPr>
      <t>Hydro One Networks Inc.(All Points including Air Products)</t>
    </r>
  </si>
  <si>
    <r>
      <t xml:space="preserve">Haldimand County Hydro Inc. Embedded Distribution Low Voltage Charges Inputs - </t>
    </r>
    <r>
      <rPr>
        <b/>
        <i/>
        <sz val="13"/>
        <color indexed="14"/>
        <rFont val="Arial"/>
        <family val="2"/>
      </rPr>
      <t>Hydro One Networks Inc.(7 PMU's Only)</t>
    </r>
  </si>
  <si>
    <r>
      <t>Haldimand County Hydro Inc.</t>
    </r>
    <r>
      <rPr>
        <b/>
        <i/>
        <sz val="13"/>
        <rFont val="Arial"/>
        <family val="2"/>
      </rPr>
      <t xml:space="preserve">Embedded Distribution Low Voltage Charges Inputs - </t>
    </r>
    <r>
      <rPr>
        <b/>
        <i/>
        <sz val="13"/>
        <color indexed="14"/>
        <rFont val="Arial"/>
        <family val="2"/>
      </rPr>
      <t>Hydro One Networks Inc. (Air Products Only)</t>
    </r>
  </si>
  <si>
    <r>
      <t xml:space="preserve">Haldimand County Hydro Inc.Embedded Distribution Low Voltage Charges Inputs - </t>
    </r>
    <r>
      <rPr>
        <b/>
        <i/>
        <sz val="13"/>
        <color indexed="14"/>
        <rFont val="Arial"/>
        <family val="2"/>
      </rPr>
      <t>Hydro One Networks Inc.(7 PMU's + Air Products)</t>
    </r>
  </si>
  <si>
    <t>Note: Inclusive of all costs except Meter Reading, Meter Capital, and Customer Billing - Incorporated into Cost Allocation Model</t>
  </si>
  <si>
    <t>Haldimand County Hydro's Service Territory</t>
  </si>
  <si>
    <r>
      <rPr>
        <b/>
        <i/>
        <sz val="14"/>
        <rFont val="Arial"/>
        <family val="2"/>
      </rPr>
      <t xml:space="preserve">Embedded Distribution Low Voltage Charges - </t>
    </r>
    <r>
      <rPr>
        <b/>
        <i/>
        <sz val="14"/>
        <color indexed="14"/>
        <rFont val="Arial"/>
        <family val="2"/>
      </rPr>
      <t>Hydro One Networks Inc.(Air Products Only)</t>
    </r>
  </si>
  <si>
    <r>
      <rPr>
        <b/>
        <i/>
        <sz val="14"/>
        <rFont val="Arial"/>
        <family val="2"/>
      </rPr>
      <t xml:space="preserve">Embedded Distribution Low Voltage Charges - </t>
    </r>
    <r>
      <rPr>
        <b/>
        <i/>
        <sz val="14"/>
        <color indexed="14"/>
        <rFont val="Arial"/>
        <family val="2"/>
      </rPr>
      <t>Hydro One Networks Inc.(PMU Embedded Points Only)</t>
    </r>
  </si>
  <si>
    <t>27.6 kV</t>
  </si>
  <si>
    <t>Total Annual OM&amp;A Costs for 2014</t>
  </si>
  <si>
    <t>2014 Rate</t>
  </si>
  <si>
    <t>[OEB's Published RPP Report for RPP Rate]</t>
  </si>
  <si>
    <t>Forecasted OM&amp;A Costs - 2014</t>
  </si>
  <si>
    <t>% Poles &amp; O/H Conductor Costs of Total 2014 O&amp;M</t>
  </si>
  <si>
    <t>TOTAL PORTION OF 2014 OM&amp;A COSTS ASSOCIATED WITH POLES &amp; O/H CONDUCTORS</t>
  </si>
  <si>
    <t>TOTAL 2014 ADMINISTRATION COSTS USED</t>
  </si>
  <si>
    <t>(per 2014 Rate Application Rate Base)</t>
  </si>
  <si>
    <t>2014 Load Forecast</t>
  </si>
  <si>
    <t>2012 Actual Used</t>
  </si>
  <si>
    <t>(per 2014 Rate Application Trial Balance)</t>
  </si>
  <si>
    <t>A/C 5605</t>
  </si>
  <si>
    <t>2014 RTSRs from Embedded Distributor RTSR model re: 2014 COS</t>
  </si>
  <si>
    <t>2014 Load Forecast calculated Cost of Power (Embedded info provided by HONI)</t>
  </si>
  <si>
    <t>With losses (Proposed Loss Factor of 1.0409)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</si>
</sst>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0.000%"/>
    <numFmt numFmtId="178" formatCode="0.0000%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-&quot;$&quot;* #,##0.0000_-;\-&quot;$&quot;* #,##0.0000_-;_-&quot;$&quot;* &quot;-&quot;????_-;_-@_-"/>
    <numFmt numFmtId="182" formatCode="_-* #,##0.0_-;\-* #,##0.0_-;_-* &quot;-&quot;??_-;_-@_-"/>
    <numFmt numFmtId="183" formatCode="_-* #,##0_-;\-* #,##0_-;_-* &quot;-&quot;??_-;_-@_-"/>
    <numFmt numFmtId="184" formatCode="_-&quot;$&quot;* #,##0.0000_-;\-&quot;$&quot;* #,##0.0000_-;_-&quot;$&quot;* &quot;-&quot;??_-;_-@_-"/>
    <numFmt numFmtId="185" formatCode="_-&quot;$&quot;* #,##0_-;\-&quot;$&quot;* #,##0_-;_-&quot;$&quot;* &quot;-&quot;??_-;_-@_-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_(&quot;$&quot;* #,##0.000_);_(&quot;$&quot;* \(#,##0.000\);_(&quot;$&quot;* &quot;-&quot;???_);_(@_)"/>
    <numFmt numFmtId="189" formatCode="0.00000%"/>
    <numFmt numFmtId="190" formatCode="0.000000%"/>
    <numFmt numFmtId="191" formatCode="0.0000000%"/>
  </numFmts>
  <fonts count="72">
    <font>
      <sz val="10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sz val="8"/>
      <name val="Arial"/>
      <family val="2"/>
    </font>
    <font>
      <b/>
      <u val="singleAccounting"/>
      <sz val="8"/>
      <name val="Arial"/>
      <family val="2"/>
    </font>
    <font>
      <b/>
      <i/>
      <sz val="14"/>
      <color indexed="14"/>
      <name val="Arial"/>
      <family val="2"/>
    </font>
    <font>
      <b/>
      <i/>
      <sz val="10"/>
      <color indexed="14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i/>
      <sz val="13"/>
      <name val="Arial"/>
      <family val="2"/>
    </font>
    <font>
      <b/>
      <i/>
      <sz val="13"/>
      <color indexed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3" fontId="1" fillId="0" borderId="0" xfId="42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173" fontId="1" fillId="0" borderId="0" xfId="42" applyNumberFormat="1" applyFont="1" applyFill="1" applyBorder="1" applyAlignment="1">
      <alignment/>
    </xf>
    <xf numFmtId="9" fontId="1" fillId="33" borderId="10" xfId="60" applyFont="1" applyFill="1" applyBorder="1" applyAlignment="1">
      <alignment/>
    </xf>
    <xf numFmtId="173" fontId="6" fillId="0" borderId="13" xfId="42" applyNumberFormat="1" applyFont="1" applyBorder="1" applyAlignment="1">
      <alignment horizontal="right"/>
    </xf>
    <xf numFmtId="164" fontId="1" fillId="0" borderId="0" xfId="0" applyNumberFormat="1" applyFont="1" applyAlignment="1">
      <alignment/>
    </xf>
    <xf numFmtId="173" fontId="3" fillId="0" borderId="13" xfId="42" applyNumberFormat="1" applyFont="1" applyBorder="1" applyAlignment="1">
      <alignment horizontal="right"/>
    </xf>
    <xf numFmtId="173" fontId="11" fillId="0" borderId="10" xfId="42" applyNumberFormat="1" applyFont="1" applyBorder="1" applyAlignment="1">
      <alignment horizontal="center"/>
    </xf>
    <xf numFmtId="10" fontId="1" fillId="33" borderId="10" xfId="60" applyNumberFormat="1" applyFont="1" applyFill="1" applyBorder="1" applyAlignment="1">
      <alignment horizontal="right"/>
    </xf>
    <xf numFmtId="10" fontId="1" fillId="0" borderId="15" xfId="6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3" fontId="1" fillId="0" borderId="19" xfId="42" applyNumberFormat="1" applyFont="1" applyBorder="1" applyAlignment="1">
      <alignment/>
    </xf>
    <xf numFmtId="0" fontId="1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3" fontId="1" fillId="0" borderId="19" xfId="42" applyNumberFormat="1" applyFont="1" applyFill="1" applyBorder="1" applyAlignment="1">
      <alignment/>
    </xf>
    <xf numFmtId="173" fontId="10" fillId="0" borderId="22" xfId="42" applyNumberFormat="1" applyFont="1" applyBorder="1" applyAlignment="1">
      <alignment horizontal="center"/>
    </xf>
    <xf numFmtId="176" fontId="0" fillId="0" borderId="0" xfId="42" applyNumberFormat="1" applyFont="1" applyAlignment="1">
      <alignment/>
    </xf>
    <xf numFmtId="176" fontId="1" fillId="0" borderId="0" xfId="42" applyNumberFormat="1" applyFont="1" applyAlignment="1">
      <alignment/>
    </xf>
    <xf numFmtId="173" fontId="4" fillId="0" borderId="13" xfId="42" applyNumberFormat="1" applyFont="1" applyBorder="1" applyAlignment="1">
      <alignment horizontal="right"/>
    </xf>
    <xf numFmtId="173" fontId="15" fillId="0" borderId="23" xfId="42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173" fontId="1" fillId="33" borderId="26" xfId="42" applyNumberFormat="1" applyFont="1" applyFill="1" applyBorder="1" applyAlignment="1">
      <alignment/>
    </xf>
    <xf numFmtId="173" fontId="1" fillId="34" borderId="26" xfId="42" applyNumberFormat="1" applyFont="1" applyFill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72" fontId="1" fillId="33" borderId="26" xfId="42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3" xfId="0" applyFont="1" applyBorder="1" applyAlignment="1">
      <alignment horizontal="center" wrapText="1"/>
    </xf>
    <xf numFmtId="173" fontId="17" fillId="0" borderId="13" xfId="42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76" fontId="18" fillId="0" borderId="0" xfId="42" applyNumberFormat="1" applyFont="1" applyAlignment="1">
      <alignment horizontal="center"/>
    </xf>
    <xf numFmtId="176" fontId="18" fillId="0" borderId="0" xfId="42" applyNumberFormat="1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176" fontId="21" fillId="0" borderId="0" xfId="42" applyNumberFormat="1" applyFont="1" applyBorder="1" applyAlignment="1">
      <alignment horizontal="center"/>
    </xf>
    <xf numFmtId="3" fontId="17" fillId="0" borderId="13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10" fontId="1" fillId="34" borderId="10" xfId="60" applyNumberFormat="1" applyFont="1" applyFill="1" applyBorder="1" applyAlignment="1">
      <alignment horizontal="right"/>
    </xf>
    <xf numFmtId="0" fontId="1" fillId="0" borderId="25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3" fontId="1" fillId="34" borderId="29" xfId="42" applyNumberFormat="1" applyFont="1" applyFill="1" applyBorder="1" applyAlignment="1">
      <alignment/>
    </xf>
    <xf numFmtId="0" fontId="24" fillId="0" borderId="25" xfId="0" applyFont="1" applyBorder="1" applyAlignment="1">
      <alignment horizontal="center"/>
    </xf>
    <xf numFmtId="180" fontId="1" fillId="33" borderId="10" xfId="45" applyNumberFormat="1" applyFont="1" applyFill="1" applyBorder="1" applyAlignment="1">
      <alignment/>
    </xf>
    <xf numFmtId="173" fontId="1" fillId="0" borderId="26" xfId="42" applyNumberFormat="1" applyFont="1" applyFill="1" applyBorder="1" applyAlignment="1">
      <alignment/>
    </xf>
    <xf numFmtId="173" fontId="1" fillId="0" borderId="29" xfId="42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173" fontId="1" fillId="0" borderId="30" xfId="42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4" fontId="1" fillId="33" borderId="10" xfId="60" applyNumberFormat="1" applyFont="1" applyFill="1" applyBorder="1" applyAlignment="1">
      <alignment/>
    </xf>
    <xf numFmtId="173" fontId="15" fillId="0" borderId="0" xfId="42" applyNumberFormat="1" applyFont="1" applyBorder="1" applyAlignment="1">
      <alignment/>
    </xf>
    <xf numFmtId="173" fontId="17" fillId="0" borderId="13" xfId="42" applyNumberFormat="1" applyFont="1" applyBorder="1" applyAlignment="1">
      <alignment horizontal="center" wrapText="1"/>
    </xf>
    <xf numFmtId="173" fontId="18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173" fontId="6" fillId="0" borderId="12" xfId="42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 wrapText="1"/>
    </xf>
    <xf numFmtId="10" fontId="6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173" fontId="0" fillId="0" borderId="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 quotePrefix="1">
      <alignment horizontal="center" vertical="center" wrapText="1"/>
    </xf>
    <xf numFmtId="10" fontId="6" fillId="0" borderId="10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 quotePrefix="1">
      <alignment/>
    </xf>
    <xf numFmtId="0" fontId="0" fillId="0" borderId="0" xfId="57">
      <alignment/>
      <protection/>
    </xf>
    <xf numFmtId="0" fontId="29" fillId="0" borderId="23" xfId="57" applyFont="1" applyBorder="1" applyAlignment="1">
      <alignment horizontal="center"/>
      <protection/>
    </xf>
    <xf numFmtId="0" fontId="29" fillId="0" borderId="31" xfId="57" applyFont="1" applyBorder="1" applyAlignment="1">
      <alignment horizontal="center"/>
      <protection/>
    </xf>
    <xf numFmtId="0" fontId="29" fillId="0" borderId="32" xfId="57" applyFont="1" applyBorder="1">
      <alignment/>
      <protection/>
    </xf>
    <xf numFmtId="0" fontId="30" fillId="0" borderId="30" xfId="57" applyFont="1" applyBorder="1" applyAlignment="1">
      <alignment horizontal="right" wrapText="1"/>
      <protection/>
    </xf>
    <xf numFmtId="0" fontId="30" fillId="0" borderId="30" xfId="57" applyFont="1" applyBorder="1" applyAlignment="1">
      <alignment horizontal="right"/>
      <protection/>
    </xf>
    <xf numFmtId="0" fontId="31" fillId="0" borderId="30" xfId="57" applyFont="1" applyBorder="1" applyAlignment="1">
      <alignment horizontal="right"/>
      <protection/>
    </xf>
    <xf numFmtId="44" fontId="30" fillId="0" borderId="30" xfId="47" applyFont="1" applyBorder="1" applyAlignment="1">
      <alignment horizontal="right"/>
    </xf>
    <xf numFmtId="43" fontId="30" fillId="0" borderId="30" xfId="44" applyFont="1" applyBorder="1" applyAlignment="1">
      <alignment horizontal="right"/>
    </xf>
    <xf numFmtId="43" fontId="30" fillId="0" borderId="30" xfId="57" applyNumberFormat="1" applyFont="1" applyBorder="1" applyAlignment="1">
      <alignment horizontal="right"/>
      <protection/>
    </xf>
    <xf numFmtId="0" fontId="29" fillId="0" borderId="33" xfId="57" applyFont="1" applyBorder="1">
      <alignment/>
      <protection/>
    </xf>
    <xf numFmtId="0" fontId="29" fillId="0" borderId="23" xfId="57" applyFont="1" applyBorder="1">
      <alignment/>
      <protection/>
    </xf>
    <xf numFmtId="0" fontId="30" fillId="0" borderId="23" xfId="57" applyFont="1" applyBorder="1" applyAlignment="1">
      <alignment horizontal="right"/>
      <protection/>
    </xf>
    <xf numFmtId="0" fontId="0" fillId="0" borderId="0" xfId="57" applyBorder="1">
      <alignment/>
      <protection/>
    </xf>
    <xf numFmtId="182" fontId="30" fillId="0" borderId="30" xfId="57" applyNumberFormat="1" applyFont="1" applyBorder="1" applyAlignment="1">
      <alignment horizontal="right"/>
      <protection/>
    </xf>
    <xf numFmtId="0" fontId="0" fillId="0" borderId="0" xfId="57" applyAlignment="1">
      <alignment horizontal="center" wrapText="1"/>
      <protection/>
    </xf>
    <xf numFmtId="0" fontId="30" fillId="0" borderId="30" xfId="57" applyFont="1" applyFill="1" applyBorder="1" applyAlignment="1">
      <alignment horizontal="right" wrapText="1"/>
      <protection/>
    </xf>
    <xf numFmtId="0" fontId="0" fillId="0" borderId="0" xfId="57" applyFill="1">
      <alignment/>
      <protection/>
    </xf>
    <xf numFmtId="1" fontId="0" fillId="0" borderId="0" xfId="57" applyNumberFormat="1" applyFill="1">
      <alignment/>
      <protection/>
    </xf>
    <xf numFmtId="43" fontId="0" fillId="0" borderId="0" xfId="57" applyNumberFormat="1" applyFill="1">
      <alignment/>
      <protection/>
    </xf>
    <xf numFmtId="0" fontId="31" fillId="0" borderId="31" xfId="57" applyFont="1" applyBorder="1" applyAlignment="1">
      <alignment horizontal="center"/>
      <protection/>
    </xf>
    <xf numFmtId="185" fontId="0" fillId="0" borderId="0" xfId="47" applyNumberFormat="1" applyAlignment="1">
      <alignment/>
    </xf>
    <xf numFmtId="0" fontId="30" fillId="0" borderId="23" xfId="57" applyFont="1" applyBorder="1">
      <alignment/>
      <protection/>
    </xf>
    <xf numFmtId="44" fontId="0" fillId="0" borderId="0" xfId="47" applyFont="1" applyAlignment="1">
      <alignment/>
    </xf>
    <xf numFmtId="0" fontId="30" fillId="0" borderId="0" xfId="57" applyFont="1">
      <alignment/>
      <protection/>
    </xf>
    <xf numFmtId="0" fontId="30" fillId="0" borderId="0" xfId="57" applyFont="1" applyAlignment="1">
      <alignment wrapText="1"/>
      <protection/>
    </xf>
    <xf numFmtId="0" fontId="20" fillId="0" borderId="0" xfId="57" applyFont="1" applyAlignment="1">
      <alignment wrapText="1"/>
      <protection/>
    </xf>
    <xf numFmtId="185" fontId="30" fillId="0" borderId="0" xfId="47" applyNumberFormat="1" applyFont="1" applyAlignment="1">
      <alignment/>
    </xf>
    <xf numFmtId="9" fontId="0" fillId="0" borderId="0" xfId="61" applyFont="1" applyAlignment="1">
      <alignment/>
    </xf>
    <xf numFmtId="0" fontId="0" fillId="0" borderId="0" xfId="57" applyAlignment="1">
      <alignment wrapText="1"/>
      <protection/>
    </xf>
    <xf numFmtId="0" fontId="15" fillId="0" borderId="0" xfId="57" applyFont="1">
      <alignment/>
      <protection/>
    </xf>
    <xf numFmtId="10" fontId="30" fillId="0" borderId="0" xfId="61" applyNumberFormat="1" applyFont="1" applyAlignment="1">
      <alignment/>
    </xf>
    <xf numFmtId="44" fontId="0" fillId="0" borderId="15" xfId="47" applyFont="1" applyBorder="1" applyAlignment="1">
      <alignment/>
    </xf>
    <xf numFmtId="44" fontId="0" fillId="0" borderId="15" xfId="57" applyNumberFormat="1" applyBorder="1">
      <alignment/>
      <protection/>
    </xf>
    <xf numFmtId="44" fontId="15" fillId="0" borderId="34" xfId="47" applyFont="1" applyBorder="1" applyAlignment="1">
      <alignment/>
    </xf>
    <xf numFmtId="44" fontId="0" fillId="0" borderId="34" xfId="47" applyFont="1" applyBorder="1" applyAlignment="1">
      <alignment/>
    </xf>
    <xf numFmtId="0" fontId="30" fillId="0" borderId="0" xfId="57" applyFont="1" applyBorder="1" applyAlignment="1">
      <alignment horizontal="right" wrapText="1"/>
      <protection/>
    </xf>
    <xf numFmtId="9" fontId="0" fillId="0" borderId="0" xfId="61" applyNumberFormat="1" applyFont="1" applyAlignment="1">
      <alignment/>
    </xf>
    <xf numFmtId="9" fontId="0" fillId="0" borderId="15" xfId="61" applyNumberFormat="1" applyFont="1" applyBorder="1" applyAlignment="1">
      <alignment/>
    </xf>
    <xf numFmtId="0" fontId="28" fillId="0" borderId="0" xfId="57" applyFont="1" applyAlignment="1">
      <alignment vertical="center"/>
      <protection/>
    </xf>
    <xf numFmtId="177" fontId="0" fillId="0" borderId="0" xfId="61" applyNumberFormat="1" applyAlignment="1">
      <alignment/>
    </xf>
    <xf numFmtId="0" fontId="0" fillId="0" borderId="0" xfId="57" applyAlignment="1">
      <alignment horizontal="right"/>
      <protection/>
    </xf>
    <xf numFmtId="0" fontId="32" fillId="0" borderId="0" xfId="57" applyFont="1" applyAlignment="1">
      <alignment horizontal="center"/>
      <protection/>
    </xf>
    <xf numFmtId="185" fontId="0" fillId="0" borderId="15" xfId="47" applyNumberFormat="1" applyBorder="1" applyAlignment="1">
      <alignment/>
    </xf>
    <xf numFmtId="170" fontId="0" fillId="0" borderId="0" xfId="45" applyFont="1" applyAlignment="1">
      <alignment/>
    </xf>
    <xf numFmtId="170" fontId="0" fillId="0" borderId="15" xfId="45" applyFont="1" applyBorder="1" applyAlignment="1">
      <alignment/>
    </xf>
    <xf numFmtId="187" fontId="0" fillId="0" borderId="0" xfId="45" applyNumberFormat="1" applyFont="1" applyAlignment="1">
      <alignment/>
    </xf>
    <xf numFmtId="187" fontId="0" fillId="0" borderId="15" xfId="45" applyNumberFormat="1" applyFont="1" applyBorder="1" applyAlignment="1">
      <alignment/>
    </xf>
    <xf numFmtId="170" fontId="0" fillId="0" borderId="0" xfId="57" applyNumberFormat="1">
      <alignment/>
      <protection/>
    </xf>
    <xf numFmtId="170" fontId="0" fillId="0" borderId="0" xfId="45" applyFont="1" applyAlignment="1">
      <alignment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/>
    </xf>
    <xf numFmtId="170" fontId="15" fillId="0" borderId="34" xfId="45" applyFont="1" applyBorder="1" applyAlignment="1">
      <alignment/>
    </xf>
    <xf numFmtId="180" fontId="15" fillId="36" borderId="23" xfId="45" applyNumberFormat="1" applyFont="1" applyFill="1" applyBorder="1" applyAlignment="1">
      <alignment/>
    </xf>
    <xf numFmtId="170" fontId="0" fillId="0" borderId="0" xfId="45" applyFont="1" applyBorder="1" applyAlignment="1">
      <alignment/>
    </xf>
    <xf numFmtId="170" fontId="15" fillId="0" borderId="34" xfId="0" applyNumberFormat="1" applyFont="1" applyBorder="1" applyAlignment="1">
      <alignment/>
    </xf>
    <xf numFmtId="183" fontId="30" fillId="0" borderId="30" xfId="57" applyNumberFormat="1" applyFont="1" applyFill="1" applyBorder="1" applyAlignment="1">
      <alignment horizontal="right"/>
      <protection/>
    </xf>
    <xf numFmtId="173" fontId="30" fillId="0" borderId="23" xfId="42" applyNumberFormat="1" applyFont="1" applyFill="1" applyBorder="1" applyAlignment="1">
      <alignment horizontal="right"/>
    </xf>
    <xf numFmtId="43" fontId="29" fillId="0" borderId="30" xfId="57" applyNumberFormat="1" applyFont="1" applyBorder="1" applyAlignment="1">
      <alignment horizontal="right"/>
      <protection/>
    </xf>
    <xf numFmtId="0" fontId="20" fillId="0" borderId="0" xfId="57" applyFont="1">
      <alignment/>
      <protection/>
    </xf>
    <xf numFmtId="171" fontId="0" fillId="0" borderId="0" xfId="57" applyNumberFormat="1" applyFill="1">
      <alignment/>
      <protection/>
    </xf>
    <xf numFmtId="10" fontId="30" fillId="37" borderId="30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>
      <alignment/>
      <protection/>
    </xf>
    <xf numFmtId="185" fontId="0" fillId="0" borderId="0" xfId="47" applyNumberFormat="1" applyFill="1" applyAlignment="1">
      <alignment/>
    </xf>
    <xf numFmtId="170" fontId="0" fillId="0" borderId="0" xfId="45" applyFont="1" applyFill="1" applyAlignment="1">
      <alignment/>
    </xf>
    <xf numFmtId="170" fontId="0" fillId="0" borderId="0" xfId="45" applyFont="1" applyFill="1" applyAlignment="1">
      <alignment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8" fillId="0" borderId="0" xfId="57" applyFont="1">
      <alignment/>
      <protection/>
    </xf>
    <xf numFmtId="170" fontId="0" fillId="0" borderId="0" xfId="45" applyFont="1" applyFill="1" applyBorder="1" applyAlignment="1">
      <alignment/>
    </xf>
    <xf numFmtId="170" fontId="15" fillId="0" borderId="34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15" fillId="0" borderId="34" xfId="45" applyFont="1" applyFill="1" applyBorder="1" applyAlignment="1">
      <alignment/>
    </xf>
    <xf numFmtId="0" fontId="1" fillId="0" borderId="0" xfId="0" applyFont="1" applyAlignment="1">
      <alignment vertical="center" wrapText="1"/>
    </xf>
    <xf numFmtId="173" fontId="3" fillId="4" borderId="13" xfId="42" applyNumberFormat="1" applyFont="1" applyFill="1" applyBorder="1" applyAlignment="1">
      <alignment horizontal="right"/>
    </xf>
    <xf numFmtId="0" fontId="26" fillId="38" borderId="35" xfId="0" applyFont="1" applyFill="1" applyBorder="1" applyAlignment="1">
      <alignment horizontal="center"/>
    </xf>
    <xf numFmtId="0" fontId="26" fillId="38" borderId="36" xfId="0" applyFont="1" applyFill="1" applyBorder="1" applyAlignment="1">
      <alignment horizontal="center"/>
    </xf>
    <xf numFmtId="0" fontId="26" fillId="38" borderId="3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57" applyAlignment="1">
      <alignment/>
      <protection/>
    </xf>
    <xf numFmtId="0" fontId="29" fillId="0" borderId="0" xfId="57" applyFont="1" applyBorder="1">
      <alignment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0" fillId="0" borderId="37" xfId="0" applyFont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17" xfId="57" applyFont="1" applyBorder="1">
      <alignment/>
      <protection/>
    </xf>
    <xf numFmtId="0" fontId="30" fillId="0" borderId="19" xfId="57" applyFont="1" applyBorder="1">
      <alignment/>
      <protection/>
    </xf>
    <xf numFmtId="0" fontId="30" fillId="0" borderId="30" xfId="57" applyFont="1" applyBorder="1">
      <alignment/>
      <protection/>
    </xf>
    <xf numFmtId="0" fontId="29" fillId="0" borderId="38" xfId="57" applyFont="1" applyBorder="1" applyAlignment="1">
      <alignment horizontal="center"/>
      <protection/>
    </xf>
    <xf numFmtId="0" fontId="29" fillId="0" borderId="32" xfId="57" applyFont="1" applyBorder="1" applyAlignment="1">
      <alignment horizontal="center"/>
      <protection/>
    </xf>
    <xf numFmtId="0" fontId="31" fillId="0" borderId="35" xfId="57" applyFont="1" applyBorder="1" applyAlignment="1">
      <alignment horizontal="center"/>
      <protection/>
    </xf>
    <xf numFmtId="0" fontId="31" fillId="0" borderId="31" xfId="57" applyFont="1" applyBorder="1" applyAlignment="1">
      <alignment horizontal="center"/>
      <protection/>
    </xf>
    <xf numFmtId="0" fontId="0" fillId="0" borderId="0" xfId="57" applyAlignment="1">
      <alignment wrapText="1"/>
      <protection/>
    </xf>
    <xf numFmtId="0" fontId="0" fillId="0" borderId="0" xfId="0" applyAlignment="1">
      <alignment wrapText="1"/>
    </xf>
    <xf numFmtId="0" fontId="0" fillId="0" borderId="0" xfId="57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6</xdr:row>
      <xdr:rowOff>28575</xdr:rowOff>
    </xdr:from>
    <xdr:to>
      <xdr:col>5</xdr:col>
      <xdr:colOff>552450</xdr:colOff>
      <xdr:row>8</xdr:row>
      <xdr:rowOff>180975</xdr:rowOff>
    </xdr:to>
    <xdr:sp>
      <xdr:nvSpPr>
        <xdr:cNvPr id="1" name="Right Brace 1"/>
        <xdr:cNvSpPr>
          <a:spLocks/>
        </xdr:cNvSpPr>
      </xdr:nvSpPr>
      <xdr:spPr>
        <a:xfrm>
          <a:off x="12049125" y="1247775"/>
          <a:ext cx="352425" cy="5524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12</xdr:row>
      <xdr:rowOff>0</xdr:rowOff>
    </xdr:from>
    <xdr:to>
      <xdr:col>5</xdr:col>
      <xdr:colOff>428625</xdr:colOff>
      <xdr:row>13</xdr:row>
      <xdr:rowOff>152400</xdr:rowOff>
    </xdr:to>
    <xdr:sp>
      <xdr:nvSpPr>
        <xdr:cNvPr id="2" name="Right Brace 3"/>
        <xdr:cNvSpPr>
          <a:spLocks/>
        </xdr:cNvSpPr>
      </xdr:nvSpPr>
      <xdr:spPr>
        <a:xfrm>
          <a:off x="11982450" y="2419350"/>
          <a:ext cx="295275" cy="3524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104</xdr:row>
      <xdr:rowOff>47625</xdr:rowOff>
    </xdr:from>
    <xdr:to>
      <xdr:col>5</xdr:col>
      <xdr:colOff>428625</xdr:colOff>
      <xdr:row>106</xdr:row>
      <xdr:rowOff>0</xdr:rowOff>
    </xdr:to>
    <xdr:sp>
      <xdr:nvSpPr>
        <xdr:cNvPr id="3" name="Right Brace 5"/>
        <xdr:cNvSpPr>
          <a:spLocks/>
        </xdr:cNvSpPr>
      </xdr:nvSpPr>
      <xdr:spPr>
        <a:xfrm>
          <a:off x="12096750" y="8439150"/>
          <a:ext cx="180975" cy="3524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102</xdr:row>
      <xdr:rowOff>152400</xdr:rowOff>
    </xdr:from>
    <xdr:to>
      <xdr:col>5</xdr:col>
      <xdr:colOff>400050</xdr:colOff>
      <xdr:row>104</xdr:row>
      <xdr:rowOff>38100</xdr:rowOff>
    </xdr:to>
    <xdr:sp>
      <xdr:nvSpPr>
        <xdr:cNvPr id="4" name="Right Brace 6"/>
        <xdr:cNvSpPr>
          <a:spLocks/>
        </xdr:cNvSpPr>
      </xdr:nvSpPr>
      <xdr:spPr>
        <a:xfrm>
          <a:off x="12049125" y="8143875"/>
          <a:ext cx="200025" cy="2857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180975</xdr:rowOff>
    </xdr:from>
    <xdr:to>
      <xdr:col>5</xdr:col>
      <xdr:colOff>447675</xdr:colOff>
      <xdr:row>22</xdr:row>
      <xdr:rowOff>133350</xdr:rowOff>
    </xdr:to>
    <xdr:sp>
      <xdr:nvSpPr>
        <xdr:cNvPr id="5" name="Right Brace 7"/>
        <xdr:cNvSpPr>
          <a:spLocks/>
        </xdr:cNvSpPr>
      </xdr:nvSpPr>
      <xdr:spPr>
        <a:xfrm>
          <a:off x="12001500" y="4200525"/>
          <a:ext cx="295275" cy="3524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114</xdr:row>
      <xdr:rowOff>180975</xdr:rowOff>
    </xdr:from>
    <xdr:to>
      <xdr:col>5</xdr:col>
      <xdr:colOff>533400</xdr:colOff>
      <xdr:row>118</xdr:row>
      <xdr:rowOff>171450</xdr:rowOff>
    </xdr:to>
    <xdr:sp>
      <xdr:nvSpPr>
        <xdr:cNvPr id="6" name="Right Brace 2"/>
        <xdr:cNvSpPr>
          <a:spLocks/>
        </xdr:cNvSpPr>
      </xdr:nvSpPr>
      <xdr:spPr>
        <a:xfrm>
          <a:off x="11934825" y="10572750"/>
          <a:ext cx="447675" cy="7905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6</xdr:row>
      <xdr:rowOff>28575</xdr:rowOff>
    </xdr:from>
    <xdr:to>
      <xdr:col>5</xdr:col>
      <xdr:colOff>552450</xdr:colOff>
      <xdr:row>8</xdr:row>
      <xdr:rowOff>180975</xdr:rowOff>
    </xdr:to>
    <xdr:sp>
      <xdr:nvSpPr>
        <xdr:cNvPr id="1" name="Right Brace 1"/>
        <xdr:cNvSpPr>
          <a:spLocks/>
        </xdr:cNvSpPr>
      </xdr:nvSpPr>
      <xdr:spPr>
        <a:xfrm>
          <a:off x="12049125" y="1247775"/>
          <a:ext cx="352425" cy="5524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12</xdr:row>
      <xdr:rowOff>0</xdr:rowOff>
    </xdr:from>
    <xdr:to>
      <xdr:col>5</xdr:col>
      <xdr:colOff>428625</xdr:colOff>
      <xdr:row>13</xdr:row>
      <xdr:rowOff>152400</xdr:rowOff>
    </xdr:to>
    <xdr:sp>
      <xdr:nvSpPr>
        <xdr:cNvPr id="2" name="Right Brace 2"/>
        <xdr:cNvSpPr>
          <a:spLocks/>
        </xdr:cNvSpPr>
      </xdr:nvSpPr>
      <xdr:spPr>
        <a:xfrm>
          <a:off x="11982450" y="2419350"/>
          <a:ext cx="295275" cy="3524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104</xdr:row>
      <xdr:rowOff>47625</xdr:rowOff>
    </xdr:from>
    <xdr:to>
      <xdr:col>5</xdr:col>
      <xdr:colOff>428625</xdr:colOff>
      <xdr:row>106</xdr:row>
      <xdr:rowOff>0</xdr:rowOff>
    </xdr:to>
    <xdr:sp>
      <xdr:nvSpPr>
        <xdr:cNvPr id="3" name="Right Brace 4"/>
        <xdr:cNvSpPr>
          <a:spLocks/>
        </xdr:cNvSpPr>
      </xdr:nvSpPr>
      <xdr:spPr>
        <a:xfrm>
          <a:off x="12096750" y="8439150"/>
          <a:ext cx="180975" cy="3524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102</xdr:row>
      <xdr:rowOff>152400</xdr:rowOff>
    </xdr:from>
    <xdr:to>
      <xdr:col>5</xdr:col>
      <xdr:colOff>400050</xdr:colOff>
      <xdr:row>104</xdr:row>
      <xdr:rowOff>38100</xdr:rowOff>
    </xdr:to>
    <xdr:sp>
      <xdr:nvSpPr>
        <xdr:cNvPr id="4" name="Right Brace 5"/>
        <xdr:cNvSpPr>
          <a:spLocks/>
        </xdr:cNvSpPr>
      </xdr:nvSpPr>
      <xdr:spPr>
        <a:xfrm>
          <a:off x="12049125" y="8143875"/>
          <a:ext cx="200025" cy="2857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21</xdr:row>
      <xdr:rowOff>9525</xdr:rowOff>
    </xdr:from>
    <xdr:to>
      <xdr:col>5</xdr:col>
      <xdr:colOff>447675</xdr:colOff>
      <xdr:row>22</xdr:row>
      <xdr:rowOff>161925</xdr:rowOff>
    </xdr:to>
    <xdr:sp>
      <xdr:nvSpPr>
        <xdr:cNvPr id="5" name="Right Brace 6"/>
        <xdr:cNvSpPr>
          <a:spLocks/>
        </xdr:cNvSpPr>
      </xdr:nvSpPr>
      <xdr:spPr>
        <a:xfrm>
          <a:off x="12001500" y="4229100"/>
          <a:ext cx="295275" cy="3524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6</xdr:row>
      <xdr:rowOff>28575</xdr:rowOff>
    </xdr:from>
    <xdr:to>
      <xdr:col>5</xdr:col>
      <xdr:colOff>552450</xdr:colOff>
      <xdr:row>8</xdr:row>
      <xdr:rowOff>180975</xdr:rowOff>
    </xdr:to>
    <xdr:sp>
      <xdr:nvSpPr>
        <xdr:cNvPr id="1" name="Right Brace 1"/>
        <xdr:cNvSpPr>
          <a:spLocks/>
        </xdr:cNvSpPr>
      </xdr:nvSpPr>
      <xdr:spPr>
        <a:xfrm>
          <a:off x="12049125" y="1247775"/>
          <a:ext cx="352425" cy="5524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12</xdr:row>
      <xdr:rowOff>0</xdr:rowOff>
    </xdr:from>
    <xdr:to>
      <xdr:col>5</xdr:col>
      <xdr:colOff>428625</xdr:colOff>
      <xdr:row>13</xdr:row>
      <xdr:rowOff>152400</xdr:rowOff>
    </xdr:to>
    <xdr:sp>
      <xdr:nvSpPr>
        <xdr:cNvPr id="2" name="Right Brace 2"/>
        <xdr:cNvSpPr>
          <a:spLocks/>
        </xdr:cNvSpPr>
      </xdr:nvSpPr>
      <xdr:spPr>
        <a:xfrm>
          <a:off x="11982450" y="2419350"/>
          <a:ext cx="295275" cy="3524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104</xdr:row>
      <xdr:rowOff>47625</xdr:rowOff>
    </xdr:from>
    <xdr:to>
      <xdr:col>5</xdr:col>
      <xdr:colOff>428625</xdr:colOff>
      <xdr:row>106</xdr:row>
      <xdr:rowOff>0</xdr:rowOff>
    </xdr:to>
    <xdr:sp>
      <xdr:nvSpPr>
        <xdr:cNvPr id="3" name="Right Brace 3"/>
        <xdr:cNvSpPr>
          <a:spLocks/>
        </xdr:cNvSpPr>
      </xdr:nvSpPr>
      <xdr:spPr>
        <a:xfrm>
          <a:off x="12096750" y="8439150"/>
          <a:ext cx="180975" cy="3524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102</xdr:row>
      <xdr:rowOff>152400</xdr:rowOff>
    </xdr:from>
    <xdr:to>
      <xdr:col>5</xdr:col>
      <xdr:colOff>400050</xdr:colOff>
      <xdr:row>104</xdr:row>
      <xdr:rowOff>38100</xdr:rowOff>
    </xdr:to>
    <xdr:sp>
      <xdr:nvSpPr>
        <xdr:cNvPr id="4" name="Right Brace 5"/>
        <xdr:cNvSpPr>
          <a:spLocks/>
        </xdr:cNvSpPr>
      </xdr:nvSpPr>
      <xdr:spPr>
        <a:xfrm>
          <a:off x="12049125" y="8143875"/>
          <a:ext cx="200025" cy="2857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28575</xdr:rowOff>
    </xdr:from>
    <xdr:to>
      <xdr:col>5</xdr:col>
      <xdr:colOff>419100</xdr:colOff>
      <xdr:row>22</xdr:row>
      <xdr:rowOff>171450</xdr:rowOff>
    </xdr:to>
    <xdr:sp>
      <xdr:nvSpPr>
        <xdr:cNvPr id="5" name="Right Brace 7"/>
        <xdr:cNvSpPr>
          <a:spLocks/>
        </xdr:cNvSpPr>
      </xdr:nvSpPr>
      <xdr:spPr>
        <a:xfrm>
          <a:off x="11972925" y="4248150"/>
          <a:ext cx="295275" cy="3429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zoomScale="77" zoomScaleNormal="77" zoomScalePageLayoutView="0" workbookViewId="0" topLeftCell="A1">
      <selection activeCell="E93" sqref="E93"/>
    </sheetView>
  </sheetViews>
  <sheetFormatPr defaultColWidth="9.140625" defaultRowHeight="12.75"/>
  <cols>
    <col min="1" max="1" width="88.421875" style="1" customWidth="1"/>
    <col min="2" max="2" width="6.8515625" style="1" customWidth="1"/>
    <col min="3" max="3" width="55.28125" style="1" customWidth="1"/>
    <col min="4" max="4" width="9.140625" style="22" customWidth="1"/>
    <col min="5" max="5" width="18.00390625" style="24" customWidth="1"/>
    <col min="6" max="16384" width="9.140625" style="1" customWidth="1"/>
  </cols>
  <sheetData>
    <row r="1" spans="1:5" ht="17.25" thickBot="1">
      <c r="A1" s="207" t="s">
        <v>306</v>
      </c>
      <c r="B1" s="208"/>
      <c r="C1" s="208"/>
      <c r="D1" s="208"/>
      <c r="E1" s="209"/>
    </row>
    <row r="2" spans="1:2" ht="15.75">
      <c r="A2" s="27" t="s">
        <v>307</v>
      </c>
      <c r="B2" s="16"/>
    </row>
    <row r="3" spans="1:5" ht="15.75">
      <c r="A3" s="27"/>
      <c r="B3" s="16"/>
      <c r="E3" s="95" t="s">
        <v>35</v>
      </c>
    </row>
    <row r="4" spans="1:5" ht="15.75">
      <c r="A4" s="16"/>
      <c r="B4" s="16"/>
      <c r="E4" s="96" t="s">
        <v>36</v>
      </c>
    </row>
    <row r="5" spans="1:2" ht="15.75">
      <c r="A5" s="16"/>
      <c r="B5" s="16"/>
    </row>
    <row r="6" spans="1:5" ht="15.75">
      <c r="A6" s="16"/>
      <c r="B6" s="17"/>
      <c r="E6" s="33" t="s">
        <v>0</v>
      </c>
    </row>
    <row r="7" spans="1:5" ht="15.75">
      <c r="A7" s="25" t="s">
        <v>1</v>
      </c>
      <c r="B7" s="18"/>
      <c r="D7" s="22" t="s">
        <v>62</v>
      </c>
      <c r="E7" s="34">
        <v>0.0284</v>
      </c>
    </row>
    <row r="8" spans="1:7" ht="15.75" customHeight="1">
      <c r="A8" s="26" t="s">
        <v>2</v>
      </c>
      <c r="B8" s="19"/>
      <c r="D8" s="22" t="s">
        <v>63</v>
      </c>
      <c r="E8" s="34">
        <v>0.0936</v>
      </c>
      <c r="G8" s="1" t="s">
        <v>313</v>
      </c>
    </row>
    <row r="9" spans="1:7" ht="15.75">
      <c r="A9" s="25" t="s">
        <v>109</v>
      </c>
      <c r="B9" s="18"/>
      <c r="D9" s="22" t="s">
        <v>64</v>
      </c>
      <c r="E9" s="34">
        <v>0.265</v>
      </c>
      <c r="G9" s="1" t="s">
        <v>236</v>
      </c>
    </row>
    <row r="10" spans="1:5" ht="15.75">
      <c r="A10" s="25" t="s">
        <v>135</v>
      </c>
      <c r="B10" s="18"/>
      <c r="D10" s="22" t="s">
        <v>65</v>
      </c>
      <c r="E10" s="83">
        <f>(+E13*E7)+(E14*E8)</f>
        <v>0.05448</v>
      </c>
    </row>
    <row r="11" spans="1:5" ht="15.75">
      <c r="A11" s="25" t="s">
        <v>134</v>
      </c>
      <c r="B11" s="18"/>
      <c r="D11" s="22" t="s">
        <v>138</v>
      </c>
      <c r="E11" s="83">
        <f>(+E14*E8)</f>
        <v>0.03744</v>
      </c>
    </row>
    <row r="12" spans="1:5" ht="15.75">
      <c r="A12" s="25"/>
      <c r="B12" s="18"/>
      <c r="E12" s="35"/>
    </row>
    <row r="13" spans="1:7" ht="15.75">
      <c r="A13" s="25" t="s">
        <v>34</v>
      </c>
      <c r="B13" s="18"/>
      <c r="D13" s="22" t="s">
        <v>66</v>
      </c>
      <c r="E13" s="34">
        <v>0.6</v>
      </c>
      <c r="G13" s="1" t="s">
        <v>313</v>
      </c>
    </row>
    <row r="14" spans="1:7" ht="15.75">
      <c r="A14" s="25" t="s">
        <v>33</v>
      </c>
      <c r="B14" s="18"/>
      <c r="D14" s="22" t="s">
        <v>67</v>
      </c>
      <c r="E14" s="34">
        <v>0.4</v>
      </c>
      <c r="G14" s="1" t="s">
        <v>236</v>
      </c>
    </row>
    <row r="15" spans="1:2" ht="15.75">
      <c r="A15" s="16"/>
      <c r="B15" s="16"/>
    </row>
    <row r="16" spans="1:5" ht="15.75">
      <c r="A16" s="16" t="s">
        <v>73</v>
      </c>
      <c r="B16" s="16"/>
      <c r="D16" s="22" t="s">
        <v>68</v>
      </c>
      <c r="E16" s="29">
        <v>0.13</v>
      </c>
    </row>
    <row r="17" spans="1:8" ht="15.75">
      <c r="A17" s="199" t="s">
        <v>110</v>
      </c>
      <c r="B17" s="16"/>
      <c r="D17" s="22" t="s">
        <v>111</v>
      </c>
      <c r="E17" s="29">
        <v>0</v>
      </c>
      <c r="F17" s="198" t="s">
        <v>233</v>
      </c>
      <c r="G17" s="198"/>
      <c r="H17" s="198"/>
    </row>
    <row r="18" spans="1:2" ht="15.75">
      <c r="A18" s="16"/>
      <c r="B18" s="16"/>
    </row>
    <row r="19" spans="1:2" ht="15.75">
      <c r="A19" s="16" t="s">
        <v>121</v>
      </c>
      <c r="B19" s="16"/>
    </row>
    <row r="20" spans="1:5" ht="15.75">
      <c r="A20" s="1" t="s">
        <v>122</v>
      </c>
      <c r="B20" s="16"/>
      <c r="C20" s="1" t="s">
        <v>314</v>
      </c>
      <c r="D20" s="22" t="s">
        <v>125</v>
      </c>
      <c r="E20" s="90">
        <f>'Inputs HONI (PMU''s Only)'!E20</f>
        <v>0.086475</v>
      </c>
    </row>
    <row r="21" spans="1:5" ht="15.75">
      <c r="A21" s="1" t="s">
        <v>222</v>
      </c>
      <c r="B21" s="16"/>
      <c r="C21" s="1" t="s">
        <v>194</v>
      </c>
      <c r="D21" s="22" t="s">
        <v>126</v>
      </c>
      <c r="E21" s="90">
        <f>'Inputs HONI (PMU''s Only)'!E21</f>
        <v>0.0057</v>
      </c>
    </row>
    <row r="22" spans="1:11" ht="15.75">
      <c r="A22" s="198" t="s">
        <v>223</v>
      </c>
      <c r="B22" s="16"/>
      <c r="C22" s="1" t="s">
        <v>194</v>
      </c>
      <c r="D22" s="22" t="s">
        <v>127</v>
      </c>
      <c r="E22" s="90">
        <f>'Inputs HONI (PMU''s Only)'!E22</f>
        <v>2.9566</v>
      </c>
      <c r="F22" s="198"/>
      <c r="G22" s="210" t="s">
        <v>324</v>
      </c>
      <c r="H22" s="210"/>
      <c r="I22" s="210"/>
      <c r="J22" s="210"/>
      <c r="K22" s="210"/>
    </row>
    <row r="23" spans="1:11" ht="15.75">
      <c r="A23" s="198" t="s">
        <v>224</v>
      </c>
      <c r="B23" s="16"/>
      <c r="C23" s="1" t="s">
        <v>194</v>
      </c>
      <c r="D23" s="22" t="s">
        <v>128</v>
      </c>
      <c r="E23" s="90">
        <f>'Inputs HONI (PMU''s Only)'!E23</f>
        <v>2.3933</v>
      </c>
      <c r="F23" s="198"/>
      <c r="G23" s="210"/>
      <c r="H23" s="210"/>
      <c r="I23" s="210"/>
      <c r="J23" s="210"/>
      <c r="K23" s="210"/>
    </row>
    <row r="24" spans="1:2" ht="15.75">
      <c r="A24" s="16"/>
      <c r="B24" s="16"/>
    </row>
    <row r="25" spans="1:7" ht="15.75">
      <c r="A25" s="16" t="s">
        <v>197</v>
      </c>
      <c r="B25" s="16"/>
      <c r="C25" s="1" t="s">
        <v>198</v>
      </c>
      <c r="D25" s="22" t="s">
        <v>195</v>
      </c>
      <c r="E25" s="97">
        <v>0</v>
      </c>
      <c r="F25" s="127" t="s">
        <v>234</v>
      </c>
      <c r="G25" s="127"/>
    </row>
    <row r="26" spans="1:7" ht="15.75">
      <c r="A26" s="16" t="s">
        <v>199</v>
      </c>
      <c r="B26" s="16"/>
      <c r="C26" s="1" t="s">
        <v>200</v>
      </c>
      <c r="D26" s="22" t="s">
        <v>196</v>
      </c>
      <c r="E26" s="97">
        <v>0</v>
      </c>
      <c r="F26" s="127" t="s">
        <v>235</v>
      </c>
      <c r="G26" s="127"/>
    </row>
    <row r="27" spans="1:2" ht="15.75">
      <c r="A27" s="27"/>
      <c r="B27" s="20"/>
    </row>
    <row r="28" spans="1:5" ht="15.75" hidden="1">
      <c r="A28" s="36" t="s">
        <v>9</v>
      </c>
      <c r="B28" s="37"/>
      <c r="C28" s="53" t="s">
        <v>20</v>
      </c>
      <c r="D28" s="53"/>
      <c r="E28" s="46" t="s">
        <v>15</v>
      </c>
    </row>
    <row r="29" spans="1:5" ht="30.75" hidden="1">
      <c r="A29" s="38" t="s">
        <v>19</v>
      </c>
      <c r="B29" s="21"/>
      <c r="C29" s="84" t="s">
        <v>102</v>
      </c>
      <c r="D29" s="59" t="s">
        <v>46</v>
      </c>
      <c r="E29" s="57"/>
    </row>
    <row r="30" spans="1:5" ht="15.75" hidden="1">
      <c r="A30" s="38" t="s">
        <v>117</v>
      </c>
      <c r="B30" s="21"/>
      <c r="C30" s="84" t="s">
        <v>166</v>
      </c>
      <c r="D30" s="59" t="s">
        <v>112</v>
      </c>
      <c r="E30" s="58">
        <f>+E29*(1+$E$17)</f>
        <v>0</v>
      </c>
    </row>
    <row r="31" spans="1:5" ht="15.75" hidden="1">
      <c r="A31" s="38" t="s">
        <v>5</v>
      </c>
      <c r="B31" s="21"/>
      <c r="C31" s="54" t="s">
        <v>25</v>
      </c>
      <c r="D31" s="59" t="s">
        <v>47</v>
      </c>
      <c r="E31" s="57"/>
    </row>
    <row r="32" spans="1:5" ht="15.75" hidden="1">
      <c r="A32" s="38" t="s">
        <v>6</v>
      </c>
      <c r="B32" s="21"/>
      <c r="C32" s="55" t="s">
        <v>28</v>
      </c>
      <c r="D32" s="59" t="s">
        <v>48</v>
      </c>
      <c r="E32" s="57"/>
    </row>
    <row r="33" spans="1:5" ht="15.75" hidden="1">
      <c r="A33" s="38" t="s">
        <v>61</v>
      </c>
      <c r="B33" s="21"/>
      <c r="C33" s="54" t="s">
        <v>29</v>
      </c>
      <c r="D33" s="59" t="s">
        <v>49</v>
      </c>
      <c r="E33" s="57"/>
    </row>
    <row r="34" spans="1:5" ht="15.75" hidden="1">
      <c r="A34" s="38" t="s">
        <v>8</v>
      </c>
      <c r="B34" s="21"/>
      <c r="C34" s="54" t="s">
        <v>30</v>
      </c>
      <c r="D34" s="59" t="s">
        <v>50</v>
      </c>
      <c r="E34" s="58">
        <f>+E31-E32</f>
        <v>0</v>
      </c>
    </row>
    <row r="35" spans="1:5" ht="15.75" hidden="1">
      <c r="A35" s="38"/>
      <c r="B35" s="21"/>
      <c r="C35" s="54"/>
      <c r="D35" s="59"/>
      <c r="E35" s="39"/>
    </row>
    <row r="36" spans="1:6" ht="15.75" hidden="1">
      <c r="A36" s="40" t="s">
        <v>38</v>
      </c>
      <c r="B36" s="20"/>
      <c r="C36" s="56"/>
      <c r="D36" s="59" t="s">
        <v>85</v>
      </c>
      <c r="E36" s="57"/>
      <c r="F36" s="128"/>
    </row>
    <row r="37" spans="1:5" ht="15.75" hidden="1">
      <c r="A37" s="40" t="s">
        <v>37</v>
      </c>
      <c r="B37" s="20"/>
      <c r="C37" s="56"/>
      <c r="D37" s="59" t="s">
        <v>86</v>
      </c>
      <c r="E37" s="57"/>
    </row>
    <row r="38" spans="1:5" ht="15.75" hidden="1">
      <c r="A38" s="40" t="s">
        <v>231</v>
      </c>
      <c r="B38" s="20" t="s">
        <v>216</v>
      </c>
      <c r="C38" s="54" t="s">
        <v>188</v>
      </c>
      <c r="D38" s="59" t="s">
        <v>120</v>
      </c>
      <c r="E38" s="57"/>
    </row>
    <row r="39" spans="1:5" ht="15.75" hidden="1">
      <c r="A39" s="40"/>
      <c r="B39" s="20"/>
      <c r="C39" s="54"/>
      <c r="D39" s="59"/>
      <c r="E39" s="39"/>
    </row>
    <row r="40" spans="1:5" ht="15.75" hidden="1">
      <c r="A40" s="42" t="s">
        <v>75</v>
      </c>
      <c r="B40" s="21"/>
      <c r="C40" s="54"/>
      <c r="D40" s="59"/>
      <c r="E40" s="39"/>
    </row>
    <row r="41" spans="1:5" ht="15.75" hidden="1">
      <c r="A41" s="38" t="s">
        <v>45</v>
      </c>
      <c r="B41" s="21"/>
      <c r="C41" s="54" t="s">
        <v>74</v>
      </c>
      <c r="D41" s="59" t="s">
        <v>69</v>
      </c>
      <c r="E41" s="58">
        <f>+E34</f>
        <v>0</v>
      </c>
    </row>
    <row r="42" spans="1:5" ht="15.75" hidden="1">
      <c r="A42" s="51" t="s">
        <v>115</v>
      </c>
      <c r="B42" s="21"/>
      <c r="C42" s="54"/>
      <c r="D42" s="59"/>
      <c r="E42" s="91"/>
    </row>
    <row r="43" spans="1:5" ht="15.75" hidden="1">
      <c r="A43" s="38" t="s">
        <v>116</v>
      </c>
      <c r="B43" s="21"/>
      <c r="C43" s="54" t="s">
        <v>132</v>
      </c>
      <c r="D43" s="89"/>
      <c r="E43" s="88">
        <f>+E30</f>
        <v>0</v>
      </c>
    </row>
    <row r="44" spans="1:5" ht="15.75" hidden="1">
      <c r="A44" s="51" t="s">
        <v>118</v>
      </c>
      <c r="B44" s="21"/>
      <c r="C44" s="54"/>
      <c r="D44" s="89"/>
      <c r="E44" s="92"/>
    </row>
    <row r="45" spans="1:5" ht="15.75" hidden="1">
      <c r="A45" s="38" t="s">
        <v>119</v>
      </c>
      <c r="B45" s="21"/>
      <c r="C45" s="54" t="s">
        <v>139</v>
      </c>
      <c r="D45" s="89"/>
      <c r="E45" s="88">
        <f>+E38*$E$20</f>
        <v>0</v>
      </c>
    </row>
    <row r="46" spans="1:5" ht="15.75" hidden="1">
      <c r="A46" s="38" t="s">
        <v>129</v>
      </c>
      <c r="B46" s="21"/>
      <c r="C46" s="54" t="s">
        <v>140</v>
      </c>
      <c r="D46" s="59"/>
      <c r="E46" s="88">
        <f>+E38*$E$21</f>
        <v>0</v>
      </c>
    </row>
    <row r="47" spans="1:5" ht="15.75" hidden="1">
      <c r="A47" s="38" t="s">
        <v>123</v>
      </c>
      <c r="B47" s="21"/>
      <c r="C47" s="54" t="s">
        <v>130</v>
      </c>
      <c r="D47" s="59"/>
      <c r="E47" s="88">
        <f>+E37*$E$22</f>
        <v>0</v>
      </c>
    </row>
    <row r="48" spans="1:5" ht="15.75" hidden="1">
      <c r="A48" s="38" t="s">
        <v>124</v>
      </c>
      <c r="B48" s="21"/>
      <c r="C48" s="54" t="s">
        <v>131</v>
      </c>
      <c r="D48" s="59"/>
      <c r="E48" s="88">
        <f>+E37*$E$23</f>
        <v>0</v>
      </c>
    </row>
    <row r="49" spans="1:5" ht="15.75" hidden="1">
      <c r="A49" s="38" t="s">
        <v>179</v>
      </c>
      <c r="B49" s="21"/>
      <c r="C49" s="54"/>
      <c r="D49" s="59" t="s">
        <v>70</v>
      </c>
      <c r="E49" s="88">
        <f>SUM(E43:E48)</f>
        <v>0</v>
      </c>
    </row>
    <row r="50" spans="1:5" ht="15.75" hidden="1">
      <c r="A50" s="38" t="s">
        <v>177</v>
      </c>
      <c r="B50" s="21"/>
      <c r="C50" s="54" t="s">
        <v>180</v>
      </c>
      <c r="D50" s="59" t="s">
        <v>178</v>
      </c>
      <c r="E50" s="88">
        <f>+E49*$E$16</f>
        <v>0</v>
      </c>
    </row>
    <row r="51" spans="1:5" ht="15.75" hidden="1">
      <c r="A51" s="40" t="s">
        <v>44</v>
      </c>
      <c r="B51" s="16"/>
      <c r="C51" s="54" t="s">
        <v>181</v>
      </c>
      <c r="D51" s="59" t="s">
        <v>84</v>
      </c>
      <c r="E51" s="58">
        <f>+E41+E50</f>
        <v>0</v>
      </c>
    </row>
    <row r="52" spans="1:5" ht="15.75" hidden="1">
      <c r="A52" s="40"/>
      <c r="B52" s="16"/>
      <c r="C52" s="54"/>
      <c r="D52" s="59"/>
      <c r="E52" s="45"/>
    </row>
    <row r="53" spans="1:5" ht="15.75" hidden="1">
      <c r="A53" s="93" t="s">
        <v>133</v>
      </c>
      <c r="B53" s="16"/>
      <c r="C53" s="54"/>
      <c r="D53" s="59"/>
      <c r="E53" s="45"/>
    </row>
    <row r="54" spans="1:5" ht="15.75" hidden="1">
      <c r="A54" s="40" t="s">
        <v>136</v>
      </c>
      <c r="B54" s="16"/>
      <c r="C54" s="54" t="s">
        <v>137</v>
      </c>
      <c r="D54" s="59" t="s">
        <v>142</v>
      </c>
      <c r="E54" s="58">
        <f>+E51*$E$11</f>
        <v>0</v>
      </c>
    </row>
    <row r="55" spans="1:5" ht="15.75" hidden="1">
      <c r="A55" s="40" t="s">
        <v>141</v>
      </c>
      <c r="B55" s="16"/>
      <c r="C55" s="54" t="s">
        <v>143</v>
      </c>
      <c r="D55" s="59" t="s">
        <v>144</v>
      </c>
      <c r="E55" s="58">
        <f>+E54*$E$9</f>
        <v>0</v>
      </c>
    </row>
    <row r="56" spans="1:5" ht="15.75" hidden="1">
      <c r="A56" s="40" t="s">
        <v>202</v>
      </c>
      <c r="B56" s="16"/>
      <c r="C56" s="54" t="s">
        <v>145</v>
      </c>
      <c r="D56" s="59" t="s">
        <v>146</v>
      </c>
      <c r="E56" s="58">
        <f>+E55/(1-$E$9)</f>
        <v>0</v>
      </c>
    </row>
    <row r="57" spans="1:5" ht="16.5" hidden="1" thickBot="1">
      <c r="A57" s="43"/>
      <c r="B57" s="44"/>
      <c r="C57" s="126"/>
      <c r="D57" s="60"/>
      <c r="E57" s="94"/>
    </row>
    <row r="58" spans="1:5" ht="15.75" hidden="1">
      <c r="A58" s="16"/>
      <c r="B58" s="16"/>
      <c r="C58" s="16"/>
      <c r="D58" s="52"/>
      <c r="E58" s="28"/>
    </row>
    <row r="59" spans="1:2" ht="16.5" hidden="1" thickBot="1">
      <c r="A59" s="27"/>
      <c r="B59" s="20"/>
    </row>
    <row r="60" spans="1:5" ht="15.75" hidden="1">
      <c r="A60" s="36" t="s">
        <v>22</v>
      </c>
      <c r="B60" s="37"/>
      <c r="C60" s="53" t="s">
        <v>20</v>
      </c>
      <c r="D60" s="53"/>
      <c r="E60" s="46" t="s">
        <v>15</v>
      </c>
    </row>
    <row r="61" spans="1:5" ht="30.75" hidden="1">
      <c r="A61" s="38" t="s">
        <v>19</v>
      </c>
      <c r="B61" s="21"/>
      <c r="C61" s="84" t="s">
        <v>103</v>
      </c>
      <c r="D61" s="59" t="s">
        <v>51</v>
      </c>
      <c r="E61" s="57"/>
    </row>
    <row r="62" spans="1:5" ht="15.75" hidden="1">
      <c r="A62" s="38" t="s">
        <v>117</v>
      </c>
      <c r="B62" s="21"/>
      <c r="C62" s="84" t="s">
        <v>165</v>
      </c>
      <c r="D62" s="59" t="s">
        <v>113</v>
      </c>
      <c r="E62" s="57">
        <f>+E61*(1+$E$17)</f>
        <v>0</v>
      </c>
    </row>
    <row r="63" spans="1:5" ht="15.75" hidden="1">
      <c r="A63" s="38" t="s">
        <v>5</v>
      </c>
      <c r="B63" s="21"/>
      <c r="C63" s="54" t="s">
        <v>26</v>
      </c>
      <c r="D63" s="59" t="s">
        <v>52</v>
      </c>
      <c r="E63" s="57"/>
    </row>
    <row r="64" spans="1:5" ht="15.75" hidden="1">
      <c r="A64" s="38" t="s">
        <v>6</v>
      </c>
      <c r="B64" s="21"/>
      <c r="C64" s="55" t="s">
        <v>28</v>
      </c>
      <c r="D64" s="59" t="s">
        <v>53</v>
      </c>
      <c r="E64" s="57"/>
    </row>
    <row r="65" spans="1:5" ht="15.75" hidden="1">
      <c r="A65" s="38" t="s">
        <v>61</v>
      </c>
      <c r="B65" s="21"/>
      <c r="C65" s="54" t="s">
        <v>29</v>
      </c>
      <c r="D65" s="59" t="s">
        <v>54</v>
      </c>
      <c r="E65" s="57"/>
    </row>
    <row r="66" spans="1:5" ht="15.75" hidden="1">
      <c r="A66" s="38" t="s">
        <v>8</v>
      </c>
      <c r="B66" s="21"/>
      <c r="C66" s="54" t="s">
        <v>31</v>
      </c>
      <c r="D66" s="59" t="s">
        <v>55</v>
      </c>
      <c r="E66" s="58">
        <f>+E63-E64</f>
        <v>0</v>
      </c>
    </row>
    <row r="67" spans="1:5" ht="15.75" hidden="1">
      <c r="A67" s="41"/>
      <c r="B67" s="20"/>
      <c r="C67" s="54"/>
      <c r="D67" s="59"/>
      <c r="E67" s="39"/>
    </row>
    <row r="68" spans="1:5" ht="15.75" hidden="1">
      <c r="A68" s="40" t="s">
        <v>40</v>
      </c>
      <c r="B68" s="20"/>
      <c r="C68" s="56"/>
      <c r="D68" s="59" t="s">
        <v>87</v>
      </c>
      <c r="E68" s="57">
        <v>0</v>
      </c>
    </row>
    <row r="69" spans="1:5" ht="15.75" hidden="1">
      <c r="A69" s="40" t="s">
        <v>39</v>
      </c>
      <c r="B69" s="20"/>
      <c r="C69" s="56"/>
      <c r="D69" s="59" t="s">
        <v>88</v>
      </c>
      <c r="E69" s="57">
        <v>0</v>
      </c>
    </row>
    <row r="70" spans="1:5" ht="15.75" hidden="1">
      <c r="A70" s="40" t="s">
        <v>230</v>
      </c>
      <c r="B70" s="20" t="s">
        <v>216</v>
      </c>
      <c r="C70" s="54" t="s">
        <v>188</v>
      </c>
      <c r="D70" s="59" t="s">
        <v>147</v>
      </c>
      <c r="E70" s="57">
        <v>0</v>
      </c>
    </row>
    <row r="71" spans="1:5" ht="15.75" hidden="1">
      <c r="A71" s="40"/>
      <c r="B71" s="20"/>
      <c r="C71" s="54"/>
      <c r="D71" s="59"/>
      <c r="E71" s="45"/>
    </row>
    <row r="72" spans="1:5" ht="15.75" hidden="1">
      <c r="A72" s="42" t="s">
        <v>76</v>
      </c>
      <c r="B72" s="21"/>
      <c r="C72" s="54"/>
      <c r="D72" s="59"/>
      <c r="E72" s="39"/>
    </row>
    <row r="73" spans="1:5" ht="15.75" hidden="1">
      <c r="A73" s="38" t="s">
        <v>45</v>
      </c>
      <c r="B73" s="21"/>
      <c r="C73" s="54" t="s">
        <v>77</v>
      </c>
      <c r="D73" s="59" t="s">
        <v>93</v>
      </c>
      <c r="E73" s="58">
        <f>+E66</f>
        <v>0</v>
      </c>
    </row>
    <row r="74" spans="1:5" ht="15.75" hidden="1">
      <c r="A74" s="51" t="s">
        <v>115</v>
      </c>
      <c r="B74" s="21"/>
      <c r="C74" s="54"/>
      <c r="D74" s="59"/>
      <c r="E74" s="91"/>
    </row>
    <row r="75" spans="1:5" ht="15.75" hidden="1">
      <c r="A75" s="38" t="s">
        <v>116</v>
      </c>
      <c r="B75" s="21"/>
      <c r="C75" s="54" t="s">
        <v>148</v>
      </c>
      <c r="D75" s="89"/>
      <c r="E75" s="88">
        <f>+E62</f>
        <v>0</v>
      </c>
    </row>
    <row r="76" spans="1:5" ht="15.75" hidden="1">
      <c r="A76" s="51" t="s">
        <v>118</v>
      </c>
      <c r="B76" s="21"/>
      <c r="C76" s="54"/>
      <c r="D76" s="89"/>
      <c r="E76" s="92"/>
    </row>
    <row r="77" spans="1:5" ht="15.75" hidden="1">
      <c r="A77" s="38" t="s">
        <v>119</v>
      </c>
      <c r="B77" s="21"/>
      <c r="C77" s="54" t="s">
        <v>149</v>
      </c>
      <c r="D77" s="89"/>
      <c r="E77" s="88">
        <f>+E70*$E$20</f>
        <v>0</v>
      </c>
    </row>
    <row r="78" spans="1:5" ht="15.75" hidden="1">
      <c r="A78" s="38" t="s">
        <v>129</v>
      </c>
      <c r="B78" s="21"/>
      <c r="C78" s="54" t="s">
        <v>150</v>
      </c>
      <c r="D78" s="59"/>
      <c r="E78" s="88">
        <f>+E70*$E$21</f>
        <v>0</v>
      </c>
    </row>
    <row r="79" spans="1:5" ht="15.75" hidden="1">
      <c r="A79" s="38" t="s">
        <v>123</v>
      </c>
      <c r="B79" s="21"/>
      <c r="C79" s="54" t="s">
        <v>151</v>
      </c>
      <c r="D79" s="59"/>
      <c r="E79" s="88">
        <f>+E69*$E$22</f>
        <v>0</v>
      </c>
    </row>
    <row r="80" spans="1:5" ht="15.75" hidden="1">
      <c r="A80" s="38" t="s">
        <v>124</v>
      </c>
      <c r="B80" s="21"/>
      <c r="C80" s="54" t="s">
        <v>152</v>
      </c>
      <c r="D80" s="59"/>
      <c r="E80" s="88">
        <f>+E69*$E$23</f>
        <v>0</v>
      </c>
    </row>
    <row r="81" spans="1:5" ht="15.75" hidden="1">
      <c r="A81" s="38" t="s">
        <v>179</v>
      </c>
      <c r="B81" s="21"/>
      <c r="C81" s="54"/>
      <c r="D81" s="59" t="s">
        <v>153</v>
      </c>
      <c r="E81" s="88">
        <f>SUM(E75:E80)</f>
        <v>0</v>
      </c>
    </row>
    <row r="82" spans="1:5" ht="15.75" hidden="1">
      <c r="A82" s="38" t="s">
        <v>177</v>
      </c>
      <c r="B82" s="21"/>
      <c r="C82" s="54" t="s">
        <v>185</v>
      </c>
      <c r="D82" s="59" t="s">
        <v>182</v>
      </c>
      <c r="E82" s="88">
        <f>+E81*$E$16</f>
        <v>0</v>
      </c>
    </row>
    <row r="83" spans="1:5" ht="15.75" hidden="1">
      <c r="A83" s="40" t="s">
        <v>44</v>
      </c>
      <c r="B83" s="16"/>
      <c r="C83" s="54" t="s">
        <v>183</v>
      </c>
      <c r="D83" s="59" t="s">
        <v>154</v>
      </c>
      <c r="E83" s="58">
        <f>+E73+E81</f>
        <v>0</v>
      </c>
    </row>
    <row r="84" spans="1:5" ht="15.75" hidden="1">
      <c r="A84" s="40"/>
      <c r="B84" s="16"/>
      <c r="C84" s="54"/>
      <c r="D84" s="59"/>
      <c r="E84" s="45"/>
    </row>
    <row r="85" spans="1:5" ht="15.75" hidden="1">
      <c r="A85" s="93" t="s">
        <v>133</v>
      </c>
      <c r="B85" s="16"/>
      <c r="C85" s="54"/>
      <c r="D85" s="59"/>
      <c r="E85" s="45"/>
    </row>
    <row r="86" spans="1:5" ht="15.75" hidden="1">
      <c r="A86" s="40" t="s">
        <v>136</v>
      </c>
      <c r="B86" s="16"/>
      <c r="C86" s="54" t="s">
        <v>155</v>
      </c>
      <c r="D86" s="59" t="s">
        <v>156</v>
      </c>
      <c r="E86" s="58">
        <f>+E83*$E$11</f>
        <v>0</v>
      </c>
    </row>
    <row r="87" spans="1:5" ht="15.75" hidden="1">
      <c r="A87" s="40" t="s">
        <v>141</v>
      </c>
      <c r="B87" s="16"/>
      <c r="C87" s="54" t="s">
        <v>159</v>
      </c>
      <c r="D87" s="59" t="s">
        <v>157</v>
      </c>
      <c r="E87" s="58">
        <f>+E86*$E$9</f>
        <v>0</v>
      </c>
    </row>
    <row r="88" spans="1:5" ht="15.75" hidden="1">
      <c r="A88" s="40" t="s">
        <v>202</v>
      </c>
      <c r="B88" s="16"/>
      <c r="C88" s="54" t="s">
        <v>160</v>
      </c>
      <c r="D88" s="59" t="s">
        <v>158</v>
      </c>
      <c r="E88" s="58">
        <f>+E87/(1-$E$9)</f>
        <v>0</v>
      </c>
    </row>
    <row r="89" spans="1:5" ht="16.5" hidden="1" thickBot="1">
      <c r="A89" s="43"/>
      <c r="B89" s="44"/>
      <c r="C89" s="126"/>
      <c r="D89" s="60"/>
      <c r="E89" s="94"/>
    </row>
    <row r="91" ht="16.5" thickBot="1"/>
    <row r="92" spans="1:5" ht="15.75">
      <c r="A92" s="36" t="s">
        <v>79</v>
      </c>
      <c r="B92" s="37"/>
      <c r="C92" s="53" t="s">
        <v>20</v>
      </c>
      <c r="D92" s="53"/>
      <c r="E92" s="46" t="s">
        <v>15</v>
      </c>
    </row>
    <row r="93" spans="1:6" ht="15.75">
      <c r="A93" s="38" t="s">
        <v>19</v>
      </c>
      <c r="B93" s="23" t="s">
        <v>23</v>
      </c>
      <c r="C93" s="54" t="s">
        <v>105</v>
      </c>
      <c r="D93" s="59" t="s">
        <v>56</v>
      </c>
      <c r="E93" s="57">
        <f>'Cost Allocation-OM&amp;A (PMU''s)'!C72+'Cost Allocation-OM&amp;A (AirProd)'!C77</f>
        <v>433117.7731956117</v>
      </c>
      <c r="F93" s="198"/>
    </row>
    <row r="94" spans="1:6" ht="15.75">
      <c r="A94" s="38"/>
      <c r="B94" s="23"/>
      <c r="C94" s="54" t="s">
        <v>192</v>
      </c>
      <c r="D94" s="59"/>
      <c r="E94" s="45"/>
      <c r="F94" s="198"/>
    </row>
    <row r="95" spans="1:6" ht="15.75">
      <c r="A95" s="38"/>
      <c r="B95" s="23" t="s">
        <v>24</v>
      </c>
      <c r="C95" s="54" t="s">
        <v>104</v>
      </c>
      <c r="D95" s="59"/>
      <c r="E95" s="45"/>
      <c r="F95" s="198"/>
    </row>
    <row r="96" spans="1:6" ht="15.75">
      <c r="A96" s="38"/>
      <c r="B96" s="21"/>
      <c r="C96" s="54" t="s">
        <v>193</v>
      </c>
      <c r="D96" s="59"/>
      <c r="E96" s="45"/>
      <c r="F96" s="198"/>
    </row>
    <row r="97" spans="1:6" ht="15.75">
      <c r="A97" s="38" t="s">
        <v>117</v>
      </c>
      <c r="B97" s="21"/>
      <c r="C97" s="84" t="s">
        <v>164</v>
      </c>
      <c r="D97" s="59" t="s">
        <v>114</v>
      </c>
      <c r="E97" s="58">
        <f>+E93*(1+$E$17)</f>
        <v>433117.7731956117</v>
      </c>
      <c r="F97" s="198"/>
    </row>
    <row r="98" spans="1:6" ht="15.75">
      <c r="A98" s="38" t="s">
        <v>5</v>
      </c>
      <c r="B98" s="23" t="s">
        <v>23</v>
      </c>
      <c r="C98" s="54" t="s">
        <v>161</v>
      </c>
      <c r="D98" s="59" t="s">
        <v>57</v>
      </c>
      <c r="E98" s="57">
        <f>'Cost Allocation-OM&amp;A Breakdown'!C25</f>
        <v>6794939.22948611</v>
      </c>
      <c r="F98" s="198"/>
    </row>
    <row r="99" spans="1:6" ht="15.75">
      <c r="A99" s="38"/>
      <c r="B99" s="23" t="s">
        <v>24</v>
      </c>
      <c r="C99" s="54" t="s">
        <v>27</v>
      </c>
      <c r="D99" s="59"/>
      <c r="E99" s="45"/>
      <c r="F99" s="198"/>
    </row>
    <row r="100" spans="1:6" ht="15.75">
      <c r="A100" s="38" t="s">
        <v>6</v>
      </c>
      <c r="B100" s="21"/>
      <c r="C100" s="55" t="s">
        <v>28</v>
      </c>
      <c r="D100" s="59" t="s">
        <v>58</v>
      </c>
      <c r="E100" s="57">
        <f>'Cost Allocation-OM&amp;A Breakdown'!D25</f>
        <v>2577488.030409957</v>
      </c>
      <c r="F100" s="198"/>
    </row>
    <row r="101" spans="1:6" ht="15.75">
      <c r="A101" s="38" t="s">
        <v>61</v>
      </c>
      <c r="B101" s="21"/>
      <c r="C101" s="54" t="s">
        <v>29</v>
      </c>
      <c r="D101" s="59" t="s">
        <v>59</v>
      </c>
      <c r="E101" s="57">
        <f>'Cost Allocation-OM&amp;A Breakdown'!E25</f>
        <v>99729.46686341181</v>
      </c>
      <c r="F101" s="198"/>
    </row>
    <row r="102" spans="1:5" ht="15.75">
      <c r="A102" s="38" t="s">
        <v>8</v>
      </c>
      <c r="B102" s="21"/>
      <c r="C102" s="54" t="s">
        <v>32</v>
      </c>
      <c r="D102" s="59" t="s">
        <v>60</v>
      </c>
      <c r="E102" s="58">
        <f>+E98-E100</f>
        <v>4217451.199076153</v>
      </c>
    </row>
    <row r="103" spans="1:5" ht="15.75">
      <c r="A103" s="38"/>
      <c r="B103" s="21"/>
      <c r="C103" s="54"/>
      <c r="D103" s="59"/>
      <c r="E103" s="39"/>
    </row>
    <row r="104" spans="1:7" ht="15.75">
      <c r="A104" s="40" t="s">
        <v>42</v>
      </c>
      <c r="B104" s="20"/>
      <c r="C104" s="54"/>
      <c r="D104" s="59" t="s">
        <v>89</v>
      </c>
      <c r="E104" s="57">
        <f>'Inputs HONI (PMU''s Only)'!E104+'Inputs HONI (Air Products)'!E104</f>
        <v>355034.7</v>
      </c>
      <c r="G104" s="198" t="s">
        <v>321</v>
      </c>
    </row>
    <row r="105" spans="1:7" ht="15.75">
      <c r="A105" s="40" t="s">
        <v>41</v>
      </c>
      <c r="B105" s="20"/>
      <c r="C105" s="54"/>
      <c r="D105" s="59" t="s">
        <v>90</v>
      </c>
      <c r="E105" s="57">
        <f>'Inputs HONI (PMU''s Only)'!E105+'Inputs HONI (Air Products)'!E105</f>
        <v>227714</v>
      </c>
      <c r="G105" s="198" t="s">
        <v>320</v>
      </c>
    </row>
    <row r="106" spans="1:7" ht="15.75">
      <c r="A106" s="40" t="s">
        <v>229</v>
      </c>
      <c r="B106" s="20" t="s">
        <v>216</v>
      </c>
      <c r="C106" s="54" t="s">
        <v>326</v>
      </c>
      <c r="D106" s="59" t="s">
        <v>162</v>
      </c>
      <c r="E106" s="57">
        <f>'Inputs HONI (PMU''s Only)'!E106</f>
        <v>74721683.3008</v>
      </c>
      <c r="G106" s="1" t="s">
        <v>237</v>
      </c>
    </row>
    <row r="107" spans="1:7" ht="15.75">
      <c r="A107" s="40"/>
      <c r="B107" s="16"/>
      <c r="C107" s="54"/>
      <c r="D107" s="59"/>
      <c r="E107" s="39"/>
      <c r="G107" s="1" t="s">
        <v>238</v>
      </c>
    </row>
    <row r="108" spans="1:6" ht="15.75">
      <c r="A108" s="85" t="s">
        <v>108</v>
      </c>
      <c r="B108" s="21"/>
      <c r="C108" s="54"/>
      <c r="D108" s="59" t="s">
        <v>91</v>
      </c>
      <c r="E108" s="57">
        <f>'Inputs HONI (Air Products)'!E108</f>
        <v>344</v>
      </c>
      <c r="F108" s="198"/>
    </row>
    <row r="109" spans="1:5" ht="15.75">
      <c r="A109" s="38" t="s">
        <v>43</v>
      </c>
      <c r="B109" s="21"/>
      <c r="C109" s="54"/>
      <c r="D109" s="59" t="s">
        <v>92</v>
      </c>
      <c r="E109" s="61">
        <f>'Inputs HONI (Air Products)'!E109</f>
        <v>5.4</v>
      </c>
    </row>
    <row r="110" spans="1:5" ht="15.75">
      <c r="A110" s="38"/>
      <c r="B110" s="21"/>
      <c r="C110" s="54"/>
      <c r="D110" s="59"/>
      <c r="E110" s="39"/>
    </row>
    <row r="111" spans="1:5" ht="15.75">
      <c r="A111" s="42" t="s">
        <v>80</v>
      </c>
      <c r="B111" s="21"/>
      <c r="C111" s="54"/>
      <c r="D111" s="59"/>
      <c r="E111" s="39"/>
    </row>
    <row r="112" spans="1:5" ht="15.75">
      <c r="A112" s="38" t="s">
        <v>45</v>
      </c>
      <c r="B112" s="21"/>
      <c r="C112" s="54" t="s">
        <v>78</v>
      </c>
      <c r="D112" s="59" t="s">
        <v>94</v>
      </c>
      <c r="E112" s="58">
        <f>+E102</f>
        <v>4217451.199076153</v>
      </c>
    </row>
    <row r="113" spans="1:5" ht="15.75">
      <c r="A113" s="51" t="s">
        <v>115</v>
      </c>
      <c r="B113" s="21"/>
      <c r="C113" s="54"/>
      <c r="D113" s="59"/>
      <c r="E113" s="91"/>
    </row>
    <row r="114" spans="1:5" ht="15.75">
      <c r="A114" s="38" t="s">
        <v>116</v>
      </c>
      <c r="B114" s="21"/>
      <c r="C114" s="54" t="s">
        <v>163</v>
      </c>
      <c r="D114" s="89"/>
      <c r="E114" s="88">
        <f>+E97</f>
        <v>433117.7731956117</v>
      </c>
    </row>
    <row r="115" spans="1:5" ht="15.75">
      <c r="A115" s="51" t="s">
        <v>118</v>
      </c>
      <c r="B115" s="21"/>
      <c r="C115" s="54"/>
      <c r="D115" s="89"/>
      <c r="E115" s="92"/>
    </row>
    <row r="116" spans="1:5" ht="15.75">
      <c r="A116" s="38" t="s">
        <v>119</v>
      </c>
      <c r="B116" s="21"/>
      <c r="C116" s="54"/>
      <c r="D116" s="89"/>
      <c r="E116" s="57">
        <f>1461358+4998705</f>
        <v>6460063</v>
      </c>
    </row>
    <row r="117" spans="1:11" ht="15.75">
      <c r="A117" s="38" t="s">
        <v>129</v>
      </c>
      <c r="B117" s="21"/>
      <c r="C117" s="54"/>
      <c r="D117" s="59"/>
      <c r="E117" s="57">
        <f>332642+90721</f>
        <v>423363</v>
      </c>
      <c r="G117" s="211" t="s">
        <v>325</v>
      </c>
      <c r="H117" s="211"/>
      <c r="I117" s="211"/>
      <c r="J117" s="211"/>
      <c r="K117" s="211"/>
    </row>
    <row r="118" spans="1:11" ht="15.75" customHeight="1">
      <c r="A118" s="38" t="s">
        <v>123</v>
      </c>
      <c r="B118" s="21"/>
      <c r="C118" s="54"/>
      <c r="D118" s="59"/>
      <c r="E118" s="57">
        <v>686435</v>
      </c>
      <c r="G118" s="211"/>
      <c r="H118" s="211"/>
      <c r="I118" s="211"/>
      <c r="J118" s="211"/>
      <c r="K118" s="211"/>
    </row>
    <row r="119" spans="1:11" ht="15.75">
      <c r="A119" s="38" t="s">
        <v>124</v>
      </c>
      <c r="B119" s="21"/>
      <c r="C119" s="54"/>
      <c r="D119" s="59"/>
      <c r="E119" s="57">
        <v>566451</v>
      </c>
      <c r="G119" s="205"/>
      <c r="H119" s="205"/>
      <c r="I119" s="205"/>
      <c r="J119" s="205"/>
      <c r="K119" s="205"/>
    </row>
    <row r="120" spans="1:11" ht="15.75">
      <c r="A120" s="38" t="s">
        <v>176</v>
      </c>
      <c r="B120" s="21"/>
      <c r="C120" s="54"/>
      <c r="D120" s="59" t="s">
        <v>171</v>
      </c>
      <c r="E120" s="88">
        <f>SUM(E114:E119)</f>
        <v>8569429.773195611</v>
      </c>
      <c r="G120" s="205"/>
      <c r="H120" s="205"/>
      <c r="I120" s="205"/>
      <c r="J120" s="205"/>
      <c r="K120" s="205"/>
    </row>
    <row r="121" spans="1:5" ht="15.75">
      <c r="A121" s="38" t="s">
        <v>177</v>
      </c>
      <c r="B121" s="21"/>
      <c r="C121" s="54" t="s">
        <v>186</v>
      </c>
      <c r="D121" s="59" t="s">
        <v>184</v>
      </c>
      <c r="E121" s="88">
        <f>+E120*$E$16</f>
        <v>1114025.8705154294</v>
      </c>
    </row>
    <row r="122" spans="1:5" ht="15.75">
      <c r="A122" s="40" t="s">
        <v>44</v>
      </c>
      <c r="B122" s="16"/>
      <c r="C122" s="54" t="s">
        <v>187</v>
      </c>
      <c r="D122" s="59" t="s">
        <v>172</v>
      </c>
      <c r="E122" s="58">
        <f>+E112+E121</f>
        <v>5331477.069591583</v>
      </c>
    </row>
    <row r="123" spans="1:5" ht="15.75">
      <c r="A123" s="40"/>
      <c r="B123" s="16"/>
      <c r="C123" s="54"/>
      <c r="D123" s="59"/>
      <c r="E123" s="45"/>
    </row>
    <row r="124" spans="1:5" ht="15.75">
      <c r="A124" s="93" t="s">
        <v>133</v>
      </c>
      <c r="B124" s="16"/>
      <c r="C124" s="54"/>
      <c r="D124" s="59"/>
      <c r="E124" s="45"/>
    </row>
    <row r="125" spans="1:5" ht="15.75">
      <c r="A125" s="40" t="s">
        <v>136</v>
      </c>
      <c r="B125" s="16"/>
      <c r="C125" s="54" t="s">
        <v>189</v>
      </c>
      <c r="D125" s="59" t="s">
        <v>173</v>
      </c>
      <c r="E125" s="58">
        <f>+E122*$E$11</f>
        <v>199610.50148550887</v>
      </c>
    </row>
    <row r="126" spans="1:5" ht="15.75">
      <c r="A126" s="40" t="s">
        <v>141</v>
      </c>
      <c r="B126" s="16"/>
      <c r="C126" s="54" t="s">
        <v>190</v>
      </c>
      <c r="D126" s="59" t="s">
        <v>174</v>
      </c>
      <c r="E126" s="58">
        <f>+E125*$E$9</f>
        <v>52896.78289365985</v>
      </c>
    </row>
    <row r="127" spans="1:5" ht="15.75">
      <c r="A127" s="40" t="s">
        <v>202</v>
      </c>
      <c r="B127" s="16"/>
      <c r="C127" s="54" t="s">
        <v>191</v>
      </c>
      <c r="D127" s="59" t="s">
        <v>175</v>
      </c>
      <c r="E127" s="58">
        <f>+E126/(1-$E$9)</f>
        <v>71968.4121002175</v>
      </c>
    </row>
    <row r="128" spans="1:5" ht="16.5" thickBot="1">
      <c r="A128" s="43"/>
      <c r="B128" s="44"/>
      <c r="C128" s="126"/>
      <c r="D128" s="60"/>
      <c r="E128" s="94"/>
    </row>
    <row r="131" ht="15.75">
      <c r="A131" s="1" t="s">
        <v>81</v>
      </c>
    </row>
    <row r="132" ht="15.75">
      <c r="A132" s="1" t="s">
        <v>82</v>
      </c>
    </row>
    <row r="133" ht="15.75">
      <c r="A133" s="1" t="s">
        <v>83</v>
      </c>
    </row>
    <row r="134" ht="15.75">
      <c r="A134" s="1" t="s">
        <v>101</v>
      </c>
    </row>
    <row r="135" ht="15.75">
      <c r="A135" s="1" t="s">
        <v>226</v>
      </c>
    </row>
    <row r="136" ht="15.75">
      <c r="A136" s="1" t="s">
        <v>227</v>
      </c>
    </row>
    <row r="137" ht="15.75">
      <c r="A137" s="127" t="s">
        <v>228</v>
      </c>
    </row>
  </sheetData>
  <sheetProtection/>
  <mergeCells count="3">
    <mergeCell ref="A1:E1"/>
    <mergeCell ref="G22:K23"/>
    <mergeCell ref="G117:K118"/>
  </mergeCells>
  <printOptions gridLines="1"/>
  <pageMargins left="1" right="0.236220472440945" top="0.37" bottom="0.37" header="0.25" footer="0.24"/>
  <pageSetup fitToHeight="0" horizontalDpi="600" verticalDpi="600" orientation="landscape" paperSize="17" scale="60" r:id="rId4"/>
  <headerFooter alignWithMargins="0">
    <oddFooter>&amp;LHaldimand County Hydro Inc.
Page &amp;P of &amp;N&amp;C&amp;F
&amp;A - Used for Estimate Only Calculation&amp;RPrepared by: S. Graham
Re: 2014 Cost of Service Rate Application
Updated: March 4, 2014 with Interrogatory Responses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D1">
      <selection activeCell="J27" sqref="J27"/>
    </sheetView>
  </sheetViews>
  <sheetFormatPr defaultColWidth="9.140625" defaultRowHeight="12.75"/>
  <cols>
    <col min="1" max="1" width="23.28125" style="2" customWidth="1"/>
    <col min="2" max="2" width="10.8515625" style="69" bestFit="1" customWidth="1"/>
    <col min="3" max="3" width="19.7109375" style="2" customWidth="1"/>
    <col min="4" max="4" width="11.421875" style="69" bestFit="1" customWidth="1"/>
    <col min="5" max="5" width="19.140625" style="2" customWidth="1"/>
    <col min="6" max="6" width="9.00390625" style="69" bestFit="1" customWidth="1"/>
    <col min="7" max="7" width="20.28125" style="2" customWidth="1"/>
    <col min="8" max="8" width="9.00390625" style="69" customWidth="1"/>
    <col min="9" max="9" width="19.7109375" style="2" customWidth="1"/>
    <col min="10" max="10" width="13.57421875" style="69" customWidth="1"/>
    <col min="11" max="11" width="16.28125" style="2" customWidth="1"/>
    <col min="12" max="12" width="17.140625" style="2" customWidth="1"/>
    <col min="13" max="13" width="16.140625" style="2" customWidth="1"/>
    <col min="14" max="14" width="15.00390625" style="2" bestFit="1" customWidth="1"/>
    <col min="15" max="16384" width="9.140625" style="2" customWidth="1"/>
  </cols>
  <sheetData>
    <row r="1" spans="1:11" ht="18.75">
      <c r="A1" s="81" t="s">
        <v>303</v>
      </c>
      <c r="B1" s="62"/>
      <c r="C1"/>
      <c r="E1"/>
      <c r="G1"/>
      <c r="I1"/>
      <c r="K1"/>
    </row>
    <row r="2" spans="1:11" ht="15.75">
      <c r="A2" s="27" t="s">
        <v>307</v>
      </c>
      <c r="B2" s="63"/>
      <c r="C2"/>
      <c r="E2"/>
      <c r="G2"/>
      <c r="I2"/>
      <c r="K2"/>
    </row>
    <row r="3" spans="1:11" ht="15">
      <c r="A3" s="3"/>
      <c r="B3" s="63"/>
      <c r="C3"/>
      <c r="F3" s="78"/>
      <c r="G3" s="82" t="s">
        <v>96</v>
      </c>
      <c r="H3" s="78"/>
      <c r="I3"/>
      <c r="K3"/>
    </row>
    <row r="4" spans="1:11" ht="15.75">
      <c r="A4" s="4" t="s">
        <v>220</v>
      </c>
      <c r="B4" s="63"/>
      <c r="C4" t="s">
        <v>221</v>
      </c>
      <c r="E4" s="52" t="s">
        <v>232</v>
      </c>
      <c r="G4"/>
      <c r="I4"/>
      <c r="K4"/>
    </row>
    <row r="5" spans="1:11" ht="15">
      <c r="A5" s="3"/>
      <c r="B5" s="63"/>
      <c r="C5"/>
      <c r="E5"/>
      <c r="G5"/>
      <c r="I5"/>
      <c r="K5"/>
    </row>
    <row r="6" spans="1:13" ht="15">
      <c r="A6" s="5">
        <v>1</v>
      </c>
      <c r="B6" s="64"/>
      <c r="C6" s="15">
        <v>2</v>
      </c>
      <c r="D6" s="64"/>
      <c r="E6" s="15">
        <v>3</v>
      </c>
      <c r="F6" s="64"/>
      <c r="G6" s="15">
        <v>4</v>
      </c>
      <c r="H6" s="64"/>
      <c r="I6" s="5">
        <v>5</v>
      </c>
      <c r="J6" s="6"/>
      <c r="K6" s="73"/>
      <c r="L6" s="5">
        <v>6</v>
      </c>
      <c r="M6" s="69"/>
    </row>
    <row r="7" spans="1:13" ht="48">
      <c r="A7" s="7" t="s">
        <v>3</v>
      </c>
      <c r="B7" s="65"/>
      <c r="C7" s="8" t="s">
        <v>4</v>
      </c>
      <c r="D7" s="70"/>
      <c r="E7" s="8" t="s">
        <v>5</v>
      </c>
      <c r="F7" s="70"/>
      <c r="G7" s="8" t="s">
        <v>6</v>
      </c>
      <c r="H7" s="70"/>
      <c r="I7" s="8" t="s">
        <v>7</v>
      </c>
      <c r="J7" s="8"/>
      <c r="K7" s="70"/>
      <c r="L7" s="107" t="s">
        <v>8</v>
      </c>
      <c r="M7" s="69"/>
    </row>
    <row r="8" spans="1:13" ht="15">
      <c r="A8" s="7" t="s">
        <v>9</v>
      </c>
      <c r="B8" s="65" t="s">
        <v>112</v>
      </c>
      <c r="C8" s="30">
        <f>+'Inputs HONI'!E30</f>
        <v>0</v>
      </c>
      <c r="D8" s="71" t="s">
        <v>47</v>
      </c>
      <c r="E8" s="30">
        <f>+'Inputs HONI'!E31</f>
        <v>0</v>
      </c>
      <c r="F8" s="71" t="s">
        <v>48</v>
      </c>
      <c r="G8" s="30">
        <f>+'Inputs HONI'!E32</f>
        <v>0</v>
      </c>
      <c r="H8" s="71" t="s">
        <v>49</v>
      </c>
      <c r="I8" s="30">
        <f>+'Inputs HONI'!E33</f>
        <v>0</v>
      </c>
      <c r="J8" s="30"/>
      <c r="K8" s="71" t="s">
        <v>50</v>
      </c>
      <c r="L8" s="108">
        <f>'Cost Allocation-OM&amp;A Breakdown'!E43</f>
        <v>0</v>
      </c>
      <c r="M8" s="69"/>
    </row>
    <row r="9" spans="1:13" ht="15">
      <c r="A9" s="7" t="s">
        <v>21</v>
      </c>
      <c r="B9" s="65" t="s">
        <v>113</v>
      </c>
      <c r="C9" s="30">
        <f>+'Inputs HONI'!E62</f>
        <v>0</v>
      </c>
      <c r="D9" s="71" t="s">
        <v>52</v>
      </c>
      <c r="E9" s="30">
        <f>+'Inputs HONI'!E63</f>
        <v>0</v>
      </c>
      <c r="F9" s="71" t="s">
        <v>53</v>
      </c>
      <c r="G9" s="30">
        <f>+'Inputs HONI'!E64</f>
        <v>0</v>
      </c>
      <c r="H9" s="71" t="s">
        <v>54</v>
      </c>
      <c r="I9" s="30">
        <f>+'Inputs HONI'!E65</f>
        <v>0</v>
      </c>
      <c r="J9" s="30"/>
      <c r="K9" s="71" t="s">
        <v>55</v>
      </c>
      <c r="L9" s="108">
        <f>'Cost Allocation-OM&amp;A Breakdown'!E44</f>
        <v>0</v>
      </c>
      <c r="M9" s="69"/>
    </row>
    <row r="10" spans="1:15" ht="15">
      <c r="A10" s="7" t="s">
        <v>10</v>
      </c>
      <c r="B10" s="65" t="s">
        <v>114</v>
      </c>
      <c r="C10" s="9">
        <f>+'Inputs HONI'!E97</f>
        <v>433117.7731956117</v>
      </c>
      <c r="D10" s="72" t="s">
        <v>57</v>
      </c>
      <c r="E10" s="9">
        <f>+'Inputs HONI'!E98</f>
        <v>6794939.22948611</v>
      </c>
      <c r="F10" s="72" t="s">
        <v>58</v>
      </c>
      <c r="G10" s="9">
        <f>+'Inputs HONI'!E100</f>
        <v>2577488.030409957</v>
      </c>
      <c r="H10" s="72" t="s">
        <v>59</v>
      </c>
      <c r="I10" s="9">
        <f>+'Inputs HONI'!E101</f>
        <v>99729.46686341181</v>
      </c>
      <c r="J10" s="9"/>
      <c r="K10" s="72" t="s">
        <v>60</v>
      </c>
      <c r="L10" s="109">
        <f>'Cost Allocation-OM&amp;A Breakdown'!E45</f>
        <v>33157.36838651817</v>
      </c>
      <c r="M10" s="103"/>
      <c r="N10" s="17"/>
      <c r="O10" s="31"/>
    </row>
    <row r="11" spans="1:14" ht="1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6"/>
      <c r="N11" s="216"/>
    </row>
    <row r="12" spans="1:14" ht="15">
      <c r="A12" s="213"/>
      <c r="B12" s="66"/>
      <c r="C12" s="6">
        <v>7</v>
      </c>
      <c r="D12" s="73"/>
      <c r="E12" s="6">
        <v>8</v>
      </c>
      <c r="F12" s="73"/>
      <c r="G12" s="6">
        <v>9</v>
      </c>
      <c r="H12" s="73"/>
      <c r="I12" s="6">
        <v>10</v>
      </c>
      <c r="J12" s="102"/>
      <c r="K12" s="114"/>
      <c r="L12" s="101">
        <v>11</v>
      </c>
      <c r="M12" s="104"/>
      <c r="N12" s="17"/>
    </row>
    <row r="13" spans="1:14" ht="15">
      <c r="A13" s="217"/>
      <c r="B13" s="67"/>
      <c r="C13" s="218" t="s">
        <v>11</v>
      </c>
      <c r="D13" s="219"/>
      <c r="E13" s="220"/>
      <c r="F13" s="86"/>
      <c r="G13" s="218" t="s">
        <v>11</v>
      </c>
      <c r="H13" s="219"/>
      <c r="I13" s="220"/>
      <c r="J13" s="115"/>
      <c r="K13" s="87"/>
      <c r="L13" s="110"/>
      <c r="M13" s="105"/>
      <c r="N13" s="106"/>
    </row>
    <row r="14" spans="1:13" ht="15">
      <c r="A14" s="214"/>
      <c r="B14" s="68"/>
      <c r="C14" s="10" t="s">
        <v>12</v>
      </c>
      <c r="D14" s="74"/>
      <c r="E14" s="10" t="s">
        <v>12</v>
      </c>
      <c r="F14" s="74"/>
      <c r="G14" s="10" t="s">
        <v>12</v>
      </c>
      <c r="H14" s="74"/>
      <c r="I14" s="10" t="s">
        <v>12</v>
      </c>
      <c r="J14" s="111"/>
      <c r="K14" s="74"/>
      <c r="L14" s="111" t="s">
        <v>0</v>
      </c>
      <c r="M14" s="69"/>
    </row>
    <row r="15" spans="1:13" ht="72">
      <c r="A15" s="7" t="s">
        <v>3</v>
      </c>
      <c r="B15" s="65"/>
      <c r="C15" s="11" t="s">
        <v>13</v>
      </c>
      <c r="D15" s="70"/>
      <c r="E15" s="11" t="s">
        <v>14</v>
      </c>
      <c r="F15" s="70"/>
      <c r="G15" s="11" t="s">
        <v>106</v>
      </c>
      <c r="H15" s="70"/>
      <c r="I15" s="11" t="s">
        <v>107</v>
      </c>
      <c r="J15" s="112"/>
      <c r="K15" s="70"/>
      <c r="L15" s="112" t="s">
        <v>71</v>
      </c>
      <c r="M15" s="69"/>
    </row>
    <row r="16" spans="1:13" ht="15">
      <c r="A16" s="7" t="s">
        <v>9</v>
      </c>
      <c r="B16" s="65"/>
      <c r="C16" s="12"/>
      <c r="D16" s="65"/>
      <c r="E16" s="13"/>
      <c r="F16" s="65" t="s">
        <v>85</v>
      </c>
      <c r="G16" s="32">
        <f>+'Inputs HONI'!E36</f>
        <v>0</v>
      </c>
      <c r="H16" s="71" t="s">
        <v>86</v>
      </c>
      <c r="I16" s="30">
        <f>+'Inputs HONI'!E37</f>
        <v>0</v>
      </c>
      <c r="J16" s="108"/>
      <c r="K16" s="80" t="s">
        <v>100</v>
      </c>
      <c r="L16" s="113">
        <f>IF(G16=0,0,I16/G16)</f>
        <v>0</v>
      </c>
      <c r="M16" s="69"/>
    </row>
    <row r="17" spans="1:13" ht="15">
      <c r="A17" s="7" t="s">
        <v>21</v>
      </c>
      <c r="B17" s="65"/>
      <c r="C17" s="12"/>
      <c r="D17" s="65"/>
      <c r="E17" s="13"/>
      <c r="F17" s="65" t="s">
        <v>87</v>
      </c>
      <c r="G17" s="32">
        <f>+'Inputs HONI'!E68</f>
        <v>0</v>
      </c>
      <c r="H17" s="71" t="s">
        <v>88</v>
      </c>
      <c r="I17" s="30">
        <f>+'Inputs HONI'!E69</f>
        <v>0</v>
      </c>
      <c r="J17" s="108"/>
      <c r="K17" s="80" t="s">
        <v>100</v>
      </c>
      <c r="L17" s="113">
        <f>IF(G17=0,0,I17/G17)</f>
        <v>0</v>
      </c>
      <c r="M17" s="69"/>
    </row>
    <row r="18" spans="1:13" ht="25.5" customHeight="1">
      <c r="A18" s="117" t="s">
        <v>10</v>
      </c>
      <c r="B18" s="73" t="s">
        <v>91</v>
      </c>
      <c r="C18" s="118">
        <f>+'Inputs HONI'!E108</f>
        <v>344</v>
      </c>
      <c r="D18" s="73" t="s">
        <v>92</v>
      </c>
      <c r="E18" s="119">
        <f>+'Inputs HONI'!E109</f>
        <v>5.4</v>
      </c>
      <c r="F18" s="120" t="s">
        <v>89</v>
      </c>
      <c r="G18" s="121">
        <f>+'Inputs HONI'!E104</f>
        <v>355034.7</v>
      </c>
      <c r="H18" s="122" t="s">
        <v>90</v>
      </c>
      <c r="I18" s="121">
        <f>+'Inputs HONI'!E105</f>
        <v>227714</v>
      </c>
      <c r="J18" s="123"/>
      <c r="K18" s="124" t="s">
        <v>201</v>
      </c>
      <c r="L18" s="125">
        <f>IF(G18=0,0,((+E18/C18)*('Cost Allocation-OM&amp;A Breakdown'!F33)))</f>
        <v>0.010306713139534886</v>
      </c>
      <c r="M18" s="69"/>
    </row>
    <row r="19" spans="1:14" ht="1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1:14" ht="15">
      <c r="A20" s="213"/>
      <c r="B20" s="66"/>
      <c r="C20" s="6">
        <v>12</v>
      </c>
      <c r="D20" s="6"/>
      <c r="E20" s="6" t="s">
        <v>211</v>
      </c>
      <c r="F20" s="73"/>
      <c r="G20" s="6">
        <v>13</v>
      </c>
      <c r="H20" s="73"/>
      <c r="I20" s="6">
        <v>14</v>
      </c>
      <c r="J20" s="73"/>
      <c r="K20" s="6">
        <v>15</v>
      </c>
      <c r="L20" s="6"/>
      <c r="M20" s="73" t="s">
        <v>212</v>
      </c>
      <c r="N20" s="6">
        <v>16</v>
      </c>
    </row>
    <row r="21" spans="1:14" ht="15">
      <c r="A21" s="214"/>
      <c r="B21" s="68"/>
      <c r="C21" s="14" t="s">
        <v>15</v>
      </c>
      <c r="D21" s="14"/>
      <c r="E21" s="14" t="s">
        <v>15</v>
      </c>
      <c r="F21" s="74"/>
      <c r="G21" s="14" t="s">
        <v>15</v>
      </c>
      <c r="H21" s="74"/>
      <c r="I21" s="14" t="s">
        <v>15</v>
      </c>
      <c r="J21" s="74"/>
      <c r="K21" s="14" t="s">
        <v>15</v>
      </c>
      <c r="L21" s="14"/>
      <c r="M21" s="14" t="s">
        <v>15</v>
      </c>
      <c r="N21" s="14" t="s">
        <v>16</v>
      </c>
    </row>
    <row r="22" spans="1:14" ht="60" customHeight="1">
      <c r="A22" s="7" t="s">
        <v>3</v>
      </c>
      <c r="B22" s="65"/>
      <c r="C22" s="11" t="s">
        <v>208</v>
      </c>
      <c r="D22" s="11"/>
      <c r="E22" s="11" t="s">
        <v>203</v>
      </c>
      <c r="F22" s="70"/>
      <c r="G22" s="11" t="s">
        <v>17</v>
      </c>
      <c r="H22" s="70"/>
      <c r="I22" s="11" t="s">
        <v>295</v>
      </c>
      <c r="J22" s="70"/>
      <c r="K22" s="11" t="s">
        <v>18</v>
      </c>
      <c r="L22" s="11"/>
      <c r="M22" s="11" t="s">
        <v>18</v>
      </c>
      <c r="N22" s="11" t="s">
        <v>72</v>
      </c>
    </row>
    <row r="23" spans="1:14" ht="28.5" customHeight="1">
      <c r="A23" s="7" t="s">
        <v>9</v>
      </c>
      <c r="B23" s="70" t="s">
        <v>209</v>
      </c>
      <c r="C23" s="32">
        <f>((+'Inputs HONI'!E51*'Inputs HONI'!$E$10)*'Calculated LV Charge HONI'!$L16)</f>
        <v>0</v>
      </c>
      <c r="D23" s="71" t="s">
        <v>206</v>
      </c>
      <c r="E23" s="32">
        <f>(+'Inputs HONI'!E56*'Calculated LV Charge HONI'!$L16)</f>
        <v>0</v>
      </c>
      <c r="F23" s="71" t="s">
        <v>97</v>
      </c>
      <c r="G23" s="32">
        <f>(+'Inputs HONI'!E33*'Calculated LV Charge HONI'!$L16)</f>
        <v>0</v>
      </c>
      <c r="H23" s="71" t="s">
        <v>215</v>
      </c>
      <c r="I23" s="32">
        <f>(+'Inputs HONI'!E30*'Calculated LV Charge HONI'!$L16)</f>
        <v>0</v>
      </c>
      <c r="J23" s="71" t="s">
        <v>95</v>
      </c>
      <c r="K23" s="32">
        <f>+C23+E23+G23+I23</f>
        <v>0</v>
      </c>
      <c r="L23" s="99" t="s">
        <v>225</v>
      </c>
      <c r="M23" s="71">
        <f>((+K23*(1+'Inputs HONI'!$E$25))*(1+'Inputs HONI'!$E$26))</f>
        <v>0</v>
      </c>
      <c r="N23" s="32"/>
    </row>
    <row r="24" spans="1:14" ht="28.5" customHeight="1">
      <c r="A24" s="7" t="s">
        <v>21</v>
      </c>
      <c r="B24" s="70" t="s">
        <v>210</v>
      </c>
      <c r="C24" s="32">
        <f>((+'Inputs HONI'!E83*'Inputs HONI'!$E$10)*'Calculated LV Charge HONI'!$L17)</f>
        <v>0</v>
      </c>
      <c r="D24" s="71" t="s">
        <v>207</v>
      </c>
      <c r="E24" s="32">
        <f>(+'Inputs HONI'!E88*'Calculated LV Charge HONI'!$L17)</f>
        <v>0</v>
      </c>
      <c r="F24" s="71" t="s">
        <v>98</v>
      </c>
      <c r="G24" s="32">
        <f>(+'Inputs HONI'!E65*'Calculated LV Charge HONI'!$L17)</f>
        <v>0</v>
      </c>
      <c r="H24" s="71" t="s">
        <v>214</v>
      </c>
      <c r="I24" s="32">
        <f>(+'Inputs HONI'!E62*'Calculated LV Charge HONI'!$L17)</f>
        <v>0</v>
      </c>
      <c r="J24" s="71" t="s">
        <v>95</v>
      </c>
      <c r="K24" s="32">
        <f>+C24+E24+G24+I24</f>
        <v>0</v>
      </c>
      <c r="L24" s="99" t="s">
        <v>225</v>
      </c>
      <c r="M24" s="71">
        <f>((+K24*(1+'Inputs HONI'!$E$25))*(1+'Inputs HONI'!$E$26))</f>
        <v>0</v>
      </c>
      <c r="N24" s="32"/>
    </row>
    <row r="25" spans="1:14" ht="28.5" customHeight="1">
      <c r="A25" s="7" t="s">
        <v>10</v>
      </c>
      <c r="B25" s="70" t="s">
        <v>205</v>
      </c>
      <c r="C25" s="206">
        <f>716.07+1574.45</f>
        <v>2290.52</v>
      </c>
      <c r="D25" s="71" t="s">
        <v>204</v>
      </c>
      <c r="E25" s="206">
        <v>91.19</v>
      </c>
      <c r="F25" s="71" t="s">
        <v>99</v>
      </c>
      <c r="G25" s="32">
        <f>'Cost Allocation-OM&amp;A (AirProd)'!F43</f>
        <v>784.0675601665671</v>
      </c>
      <c r="H25" s="71" t="s">
        <v>213</v>
      </c>
      <c r="I25" s="32">
        <f>'Cost Allocation-OM&amp;A (PMU''s)'!H38+'Cost Allocation-OM&amp;A (AirProd)'!H43</f>
        <v>243054.57106278697</v>
      </c>
      <c r="J25" s="71" t="s">
        <v>95</v>
      </c>
      <c r="K25" s="32">
        <f>+C25+E25+G25+I25</f>
        <v>246220.34862295355</v>
      </c>
      <c r="L25" s="99" t="s">
        <v>225</v>
      </c>
      <c r="M25" s="71">
        <f>((+K25*(1+'Inputs HONI'!$E$25))*(1+'Inputs HONI'!$E$26))</f>
        <v>246220.34862295355</v>
      </c>
      <c r="N25" s="49"/>
    </row>
    <row r="26" spans="1:14" ht="15.75" thickBot="1">
      <c r="A26" s="3"/>
      <c r="B26" s="63"/>
      <c r="C26" s="47"/>
      <c r="D26" s="47"/>
      <c r="E26" s="47"/>
      <c r="F26" s="75"/>
      <c r="G26" s="47"/>
      <c r="H26" s="75"/>
      <c r="I26" s="47"/>
      <c r="J26" s="75"/>
      <c r="K26" s="47"/>
      <c r="L26" s="47"/>
      <c r="M26" s="75"/>
      <c r="N26" s="47"/>
    </row>
    <row r="27" spans="3:14" ht="15.75" thickBot="1">
      <c r="C27" s="48"/>
      <c r="D27" s="48"/>
      <c r="E27" s="48"/>
      <c r="F27" s="75"/>
      <c r="G27" s="48"/>
      <c r="H27" s="75"/>
      <c r="I27" s="48"/>
      <c r="J27" s="75"/>
      <c r="K27" s="116"/>
      <c r="L27" s="98"/>
      <c r="M27" s="50">
        <f>SUM(M23:M26)</f>
        <v>246220.34862295355</v>
      </c>
      <c r="N27" s="183">
        <f>ROUND(+M27/SUM(I16:I18),4)</f>
        <v>1.0813</v>
      </c>
    </row>
    <row r="28" spans="3:14" ht="15">
      <c r="C28" s="48"/>
      <c r="D28" s="48"/>
      <c r="E28" s="48"/>
      <c r="F28" s="75"/>
      <c r="G28" s="48"/>
      <c r="H28" s="75"/>
      <c r="I28" s="48"/>
      <c r="J28" s="75"/>
      <c r="K28" s="76"/>
      <c r="L28" s="76"/>
      <c r="M28" s="76" t="s">
        <v>218</v>
      </c>
      <c r="N28" s="79" t="s">
        <v>219</v>
      </c>
    </row>
    <row r="29" spans="4:14" ht="15">
      <c r="D29" s="2"/>
      <c r="K29" s="77"/>
      <c r="L29" s="77"/>
      <c r="M29" s="78"/>
      <c r="N29" s="76" t="s">
        <v>217</v>
      </c>
    </row>
    <row r="30" spans="4:13" ht="15">
      <c r="D30" s="2"/>
      <c r="M30" s="100"/>
    </row>
    <row r="31" spans="3:11" ht="17.25">
      <c r="C31" s="48"/>
      <c r="D31" s="75"/>
      <c r="E31" s="48"/>
      <c r="F31" s="75"/>
      <c r="G31" s="48"/>
      <c r="H31" s="75"/>
      <c r="I31" s="76"/>
      <c r="J31" s="76"/>
      <c r="K31" s="79"/>
    </row>
    <row r="32" spans="9:11" ht="15">
      <c r="I32" s="77"/>
      <c r="J32" s="78"/>
      <c r="K32" s="76"/>
    </row>
  </sheetData>
  <sheetProtection/>
  <mergeCells count="6">
    <mergeCell ref="A19:N19"/>
    <mergeCell ref="A20:A21"/>
    <mergeCell ref="A11:N11"/>
    <mergeCell ref="A12:A14"/>
    <mergeCell ref="C13:E13"/>
    <mergeCell ref="G13:I13"/>
  </mergeCells>
  <printOptions gridLines="1"/>
  <pageMargins left="0.696850394" right="0.196850393700787" top="0.893700787" bottom="0.393700787401575" header="0.15748031496063" footer="0.15748031496063"/>
  <pageSetup horizontalDpi="600" verticalDpi="600" orientation="landscape" paperSize="5" scale="75" r:id="rId3"/>
  <headerFooter alignWithMargins="0">
    <oddFooter>&amp;LHaldimand County Hydro Inc.
Page &amp;P of &amp;N&amp;C&amp;F
&amp;A - Estimate Only&amp;RPrepared by: S. Graham
Re: 2014 Cost of Service Rate Application
September 20, 2013
Updated - March 4, 2014 with Interrogatory Responses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9">
      <selection activeCell="E56" sqref="E56"/>
    </sheetView>
  </sheetViews>
  <sheetFormatPr defaultColWidth="9.140625" defaultRowHeight="12.75"/>
  <cols>
    <col min="1" max="1" width="47.28125" style="0" bestFit="1" customWidth="1"/>
    <col min="2" max="2" width="14.00390625" style="0" bestFit="1" customWidth="1"/>
    <col min="3" max="3" width="18.421875" style="0" customWidth="1"/>
    <col min="4" max="4" width="18.140625" style="0" bestFit="1" customWidth="1"/>
    <col min="5" max="5" width="17.00390625" style="0" customWidth="1"/>
    <col min="6" max="6" width="19.140625" style="0" customWidth="1"/>
    <col min="7" max="7" width="17.57421875" style="0" customWidth="1"/>
    <col min="8" max="8" width="18.7109375" style="0" customWidth="1"/>
  </cols>
  <sheetData>
    <row r="1" ht="18.75">
      <c r="A1" s="81" t="s">
        <v>303</v>
      </c>
    </row>
    <row r="2" ht="15.75">
      <c r="A2" s="27" t="s">
        <v>307</v>
      </c>
    </row>
    <row r="4" spans="1:9" ht="12.75">
      <c r="A4" s="129"/>
      <c r="B4" s="129"/>
      <c r="C4" s="129"/>
      <c r="D4" s="129"/>
      <c r="E4" s="129"/>
      <c r="F4" s="129"/>
      <c r="G4" s="129"/>
      <c r="H4" s="129"/>
      <c r="I4" s="129"/>
    </row>
    <row r="5" spans="3:9" ht="12.75">
      <c r="C5" s="129"/>
      <c r="D5" s="129"/>
      <c r="E5" s="221" t="s">
        <v>308</v>
      </c>
      <c r="F5" s="221"/>
      <c r="G5" s="129"/>
      <c r="H5" s="129"/>
      <c r="I5" s="129"/>
    </row>
    <row r="6" spans="3:9" ht="12.75">
      <c r="C6" s="129"/>
      <c r="D6" s="129"/>
      <c r="E6" s="171" t="s">
        <v>239</v>
      </c>
      <c r="F6" s="171" t="s">
        <v>240</v>
      </c>
      <c r="G6" s="129"/>
      <c r="H6" s="129"/>
      <c r="I6" s="129"/>
    </row>
    <row r="7" spans="3:9" ht="14.25">
      <c r="C7" s="129"/>
      <c r="D7" s="168">
        <v>27.6</v>
      </c>
      <c r="E7" s="168">
        <f>313+31</f>
        <v>344</v>
      </c>
      <c r="F7" s="168">
        <v>313</v>
      </c>
      <c r="G7" s="129"/>
      <c r="H7" s="129"/>
      <c r="I7" s="129"/>
    </row>
    <row r="8" spans="3:9" ht="14.25">
      <c r="C8" s="129"/>
      <c r="D8" s="129" t="s">
        <v>241</v>
      </c>
      <c r="E8" s="200">
        <f>1558.7+90.8</f>
        <v>1649.5</v>
      </c>
      <c r="F8" s="168">
        <v>1558.7</v>
      </c>
      <c r="G8" s="129"/>
      <c r="H8" s="129"/>
      <c r="I8" s="129"/>
    </row>
    <row r="9" spans="3:9" ht="14.25">
      <c r="C9" s="129"/>
      <c r="D9" s="129" t="s">
        <v>242</v>
      </c>
      <c r="E9" s="200">
        <f>552.4+229</f>
        <v>781.4</v>
      </c>
      <c r="F9" s="168">
        <v>552.4</v>
      </c>
      <c r="G9" s="129"/>
      <c r="H9" s="129"/>
      <c r="I9" s="169"/>
    </row>
    <row r="10" spans="3:9" ht="14.25">
      <c r="C10" s="129"/>
      <c r="D10" s="129"/>
      <c r="E10" s="170"/>
      <c r="F10" s="129"/>
      <c r="G10" s="129"/>
      <c r="H10" s="129"/>
      <c r="I10" s="168"/>
    </row>
    <row r="11" spans="3:9" ht="12.75">
      <c r="C11" s="129"/>
      <c r="D11" s="129"/>
      <c r="E11" s="170"/>
      <c r="F11" s="129"/>
      <c r="G11" s="129"/>
      <c r="H11" s="129"/>
      <c r="I11" s="169"/>
    </row>
    <row r="13" spans="1:9" ht="56.25" customHeight="1">
      <c r="A13" s="129"/>
      <c r="B13" s="129"/>
      <c r="C13" s="144" t="s">
        <v>284</v>
      </c>
      <c r="D13" s="144" t="s">
        <v>283</v>
      </c>
      <c r="E13" s="158" t="s">
        <v>285</v>
      </c>
      <c r="F13" s="158" t="s">
        <v>243</v>
      </c>
      <c r="G13" s="129"/>
      <c r="H13" s="129"/>
      <c r="I13" s="129"/>
    </row>
    <row r="14" spans="1:9" ht="12.75">
      <c r="A14" s="129"/>
      <c r="B14" s="129" t="s">
        <v>281</v>
      </c>
      <c r="C14" s="194">
        <f>21709012-787730</f>
        <v>20921282</v>
      </c>
      <c r="D14" s="194">
        <f>9091568-191326</f>
        <v>8900242</v>
      </c>
      <c r="E14" s="175">
        <f>C14-D14</f>
        <v>12021040</v>
      </c>
      <c r="F14" s="169">
        <f>F7/F8</f>
        <v>0.20080836594598062</v>
      </c>
      <c r="G14" s="129"/>
      <c r="H14" s="129"/>
      <c r="I14" s="129"/>
    </row>
    <row r="15" spans="1:9" ht="12.75">
      <c r="A15" s="129"/>
      <c r="B15" s="129" t="s">
        <v>282</v>
      </c>
      <c r="C15" s="194">
        <f>13681892-205203</f>
        <v>13476689</v>
      </c>
      <c r="D15" s="194">
        <f>4028160-43931</f>
        <v>3984229</v>
      </c>
      <c r="E15" s="175">
        <f>C15-D15</f>
        <v>9492460</v>
      </c>
      <c r="F15" s="129"/>
      <c r="G15" s="129"/>
      <c r="H15" s="129"/>
      <c r="I15" s="129"/>
    </row>
    <row r="16" spans="1:6" ht="12.75">
      <c r="A16" s="129"/>
      <c r="B16" s="129"/>
      <c r="C16" s="172">
        <f>SUM(C14:C15)</f>
        <v>34397971</v>
      </c>
      <c r="D16" s="172">
        <f>SUM(D14:D15)</f>
        <v>12884471</v>
      </c>
      <c r="E16" s="176">
        <f>SUM(E14:E15)</f>
        <v>21513500</v>
      </c>
      <c r="F16" s="129"/>
    </row>
    <row r="17" spans="2:4" ht="12.75">
      <c r="B17" s="129" t="s">
        <v>281</v>
      </c>
      <c r="C17" s="225" t="s">
        <v>290</v>
      </c>
      <c r="D17" s="195">
        <v>287257</v>
      </c>
    </row>
    <row r="18" spans="1:6" ht="12.75">
      <c r="A18" s="129"/>
      <c r="B18" s="129" t="s">
        <v>282</v>
      </c>
      <c r="C18" s="226"/>
      <c r="D18" s="196">
        <v>219038</v>
      </c>
      <c r="E18" s="129"/>
      <c r="F18" s="129"/>
    </row>
    <row r="19" spans="1:6" ht="12.75">
      <c r="A19" s="129"/>
      <c r="B19" s="129"/>
      <c r="C19" s="180"/>
      <c r="D19" s="174">
        <f>SUM(D17:D18)</f>
        <v>506295</v>
      </c>
      <c r="E19" s="129"/>
      <c r="F19" s="129"/>
    </row>
    <row r="20" spans="1:6" ht="13.5" thickBot="1">
      <c r="A20" s="129"/>
      <c r="B20" s="129"/>
      <c r="C20" s="179"/>
      <c r="D20" s="173"/>
      <c r="E20" s="129"/>
      <c r="F20" s="129"/>
    </row>
    <row r="21" spans="1:6" ht="13.5" thickBot="1">
      <c r="A21" s="130">
        <v>1</v>
      </c>
      <c r="B21" s="131">
        <v>2</v>
      </c>
      <c r="C21" s="131">
        <v>3</v>
      </c>
      <c r="D21" s="131">
        <v>4</v>
      </c>
      <c r="E21" s="131">
        <v>5</v>
      </c>
      <c r="F21" s="131">
        <v>6</v>
      </c>
    </row>
    <row r="22" spans="1:6" ht="66" customHeight="1" thickBot="1">
      <c r="A22" s="132" t="s">
        <v>3</v>
      </c>
      <c r="B22" s="133" t="s">
        <v>19</v>
      </c>
      <c r="C22" s="133" t="s">
        <v>5</v>
      </c>
      <c r="D22" s="133" t="s">
        <v>6</v>
      </c>
      <c r="E22" s="133" t="s">
        <v>292</v>
      </c>
      <c r="F22" s="145" t="s">
        <v>8</v>
      </c>
    </row>
    <row r="23" spans="1:6" ht="13.5" thickBot="1">
      <c r="A23" s="132" t="s">
        <v>245</v>
      </c>
      <c r="B23" s="141"/>
      <c r="C23" s="141"/>
      <c r="D23" s="141"/>
      <c r="E23" s="141"/>
      <c r="F23" s="141"/>
    </row>
    <row r="24" spans="1:6" ht="13.5" thickBot="1">
      <c r="A24" s="132" t="s">
        <v>9</v>
      </c>
      <c r="B24" s="141"/>
      <c r="C24" s="141"/>
      <c r="D24" s="141"/>
      <c r="E24" s="141"/>
      <c r="F24" s="141"/>
    </row>
    <row r="25" spans="1:6" ht="13.5" thickBot="1">
      <c r="A25" s="132" t="s">
        <v>10</v>
      </c>
      <c r="B25" s="136">
        <f>'Cost Allocation-OM&amp;A (AirProd)'!B24</f>
        <v>433117.7731956117</v>
      </c>
      <c r="C25" s="136">
        <f>'Cost Allocation-OM&amp;A (AirProd)'!C24</f>
        <v>6794939.22948611</v>
      </c>
      <c r="D25" s="136">
        <f>'Cost Allocation-OM&amp;A (AirProd)'!D24</f>
        <v>2577488.030409957</v>
      </c>
      <c r="E25" s="136">
        <f>'Cost Allocation-OM&amp;A (AirProd)'!E24</f>
        <v>99729.46686341181</v>
      </c>
      <c r="F25" s="137">
        <f>C25-D25</f>
        <v>4217451.199076153</v>
      </c>
    </row>
    <row r="26" spans="1:6" ht="13.5" thickBot="1">
      <c r="A26" s="227"/>
      <c r="B26" s="227"/>
      <c r="C26" s="227"/>
      <c r="D26" s="227"/>
      <c r="E26" s="227"/>
      <c r="F26" s="227"/>
    </row>
    <row r="27" spans="1:6" ht="13.5" thickBot="1">
      <c r="A27" s="228"/>
      <c r="B27" s="131">
        <v>7</v>
      </c>
      <c r="C27" s="131">
        <v>8</v>
      </c>
      <c r="D27" s="131">
        <v>9</v>
      </c>
      <c r="E27" s="131">
        <v>10</v>
      </c>
      <c r="F27" s="230">
        <v>11</v>
      </c>
    </row>
    <row r="28" spans="1:6" ht="13.5" thickBot="1">
      <c r="A28" s="228"/>
      <c r="B28" s="232" t="s">
        <v>11</v>
      </c>
      <c r="C28" s="233"/>
      <c r="D28" s="232" t="s">
        <v>11</v>
      </c>
      <c r="E28" s="233"/>
      <c r="F28" s="231"/>
    </row>
    <row r="29" spans="1:6" ht="13.5" thickBot="1">
      <c r="A29" s="229"/>
      <c r="B29" s="135" t="s">
        <v>246</v>
      </c>
      <c r="C29" s="135" t="s">
        <v>246</v>
      </c>
      <c r="D29" s="135" t="s">
        <v>12</v>
      </c>
      <c r="E29" s="135" t="s">
        <v>12</v>
      </c>
      <c r="F29" s="135" t="s">
        <v>0</v>
      </c>
    </row>
    <row r="30" spans="1:6" ht="55.5" customHeight="1" thickBot="1">
      <c r="A30" s="132" t="s">
        <v>3</v>
      </c>
      <c r="B30" s="133" t="s">
        <v>247</v>
      </c>
      <c r="C30" s="133" t="s">
        <v>248</v>
      </c>
      <c r="D30" s="133" t="s">
        <v>249</v>
      </c>
      <c r="E30" s="133" t="s">
        <v>250</v>
      </c>
      <c r="F30" s="133" t="s">
        <v>251</v>
      </c>
    </row>
    <row r="31" spans="1:6" ht="13.5" thickBot="1">
      <c r="A31" s="132" t="s">
        <v>245</v>
      </c>
      <c r="B31" s="141"/>
      <c r="C31" s="141"/>
      <c r="D31" s="141"/>
      <c r="E31" s="141"/>
      <c r="F31" s="141"/>
    </row>
    <row r="32" spans="1:6" ht="13.5" thickBot="1">
      <c r="A32" s="132" t="s">
        <v>9</v>
      </c>
      <c r="B32" s="141"/>
      <c r="C32" s="141"/>
      <c r="D32" s="141"/>
      <c r="E32" s="141"/>
      <c r="F32" s="141"/>
    </row>
    <row r="33" spans="1:7" ht="13.5" thickBot="1">
      <c r="A33" s="139" t="s">
        <v>10</v>
      </c>
      <c r="B33" s="143">
        <f>'Inputs HONI'!E108</f>
        <v>344</v>
      </c>
      <c r="C33" s="143">
        <f>'Inputs HONI'!E109</f>
        <v>5.4</v>
      </c>
      <c r="D33" s="186">
        <f>'Inputs HONI'!E104</f>
        <v>355034.7</v>
      </c>
      <c r="E33" s="187">
        <f>'Inputs HONI'!E105</f>
        <v>227714</v>
      </c>
      <c r="F33" s="191">
        <v>0.6565758</v>
      </c>
      <c r="G33" s="77" t="s">
        <v>301</v>
      </c>
    </row>
    <row r="34" spans="1:10" ht="13.5" thickBot="1">
      <c r="A34" s="140"/>
      <c r="B34" s="141"/>
      <c r="C34" s="141"/>
      <c r="D34" s="141"/>
      <c r="E34" s="141"/>
      <c r="F34" s="141"/>
      <c r="G34" s="189" t="s">
        <v>302</v>
      </c>
      <c r="H34" s="129"/>
      <c r="I34" s="129"/>
      <c r="J34" s="129"/>
    </row>
    <row r="35" spans="1:10" ht="13.5" thickBot="1">
      <c r="A35" s="140"/>
      <c r="B35" s="141"/>
      <c r="C35" s="141"/>
      <c r="D35" s="141"/>
      <c r="E35" s="181"/>
      <c r="F35" s="141"/>
      <c r="G35" s="129"/>
      <c r="H35" s="129"/>
      <c r="I35" s="129"/>
      <c r="J35" s="129"/>
    </row>
    <row r="36" spans="1:10" ht="12.75">
      <c r="A36" s="222"/>
      <c r="B36" s="222"/>
      <c r="C36" s="222"/>
      <c r="D36" s="222"/>
      <c r="E36" s="222"/>
      <c r="F36" s="222"/>
      <c r="G36" s="142"/>
      <c r="H36" s="129"/>
      <c r="I36" s="129"/>
      <c r="J36" s="129"/>
    </row>
    <row r="37" spans="1:10" ht="15">
      <c r="A37" s="223"/>
      <c r="B37" s="223"/>
      <c r="C37" s="223"/>
      <c r="D37" s="223"/>
      <c r="E37" s="223"/>
      <c r="F37" s="224"/>
      <c r="G37" s="142"/>
      <c r="H37" s="129"/>
      <c r="I37" s="129"/>
      <c r="J37" s="129"/>
    </row>
    <row r="39" spans="1:10" ht="12.75">
      <c r="A39" s="159" t="s">
        <v>252</v>
      </c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3.5" thickBo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3.5" thickBot="1">
      <c r="A41" s="151"/>
      <c r="B41" s="149" t="s">
        <v>15</v>
      </c>
      <c r="C41" s="149" t="s">
        <v>15</v>
      </c>
      <c r="D41" s="149" t="s">
        <v>15</v>
      </c>
      <c r="E41" s="149" t="s">
        <v>15</v>
      </c>
      <c r="F41" s="149" t="s">
        <v>15</v>
      </c>
      <c r="G41" s="149" t="s">
        <v>15</v>
      </c>
      <c r="H41" s="149" t="s">
        <v>15</v>
      </c>
      <c r="I41" s="129"/>
      <c r="J41" s="129"/>
    </row>
    <row r="42" spans="1:10" ht="61.5" customHeight="1" thickBot="1">
      <c r="A42" s="132" t="s">
        <v>3</v>
      </c>
      <c r="B42" s="145" t="s">
        <v>253</v>
      </c>
      <c r="C42" s="145" t="s">
        <v>254</v>
      </c>
      <c r="D42" s="133" t="s">
        <v>255</v>
      </c>
      <c r="E42" s="145" t="s">
        <v>256</v>
      </c>
      <c r="F42" s="133" t="s">
        <v>17</v>
      </c>
      <c r="G42" s="133" t="s">
        <v>297</v>
      </c>
      <c r="H42" s="133" t="s">
        <v>298</v>
      </c>
      <c r="I42" s="146"/>
      <c r="J42" s="146"/>
    </row>
    <row r="43" spans="1:10" ht="13.5" thickBot="1">
      <c r="A43" s="132" t="s">
        <v>245</v>
      </c>
      <c r="B43" s="181"/>
      <c r="C43" s="181"/>
      <c r="D43" s="181"/>
      <c r="E43" s="181"/>
      <c r="F43" s="181"/>
      <c r="G43" s="181"/>
      <c r="H43" s="181"/>
      <c r="I43" s="147"/>
      <c r="J43" s="148"/>
    </row>
    <row r="44" spans="1:10" ht="13.5" thickBot="1">
      <c r="A44" s="132" t="s">
        <v>9</v>
      </c>
      <c r="B44" s="134"/>
      <c r="C44" s="134"/>
      <c r="D44" s="134"/>
      <c r="E44" s="136"/>
      <c r="F44" s="134"/>
      <c r="G44" s="134"/>
      <c r="H44" s="134"/>
      <c r="I44" s="146"/>
      <c r="J44" s="146"/>
    </row>
    <row r="45" spans="1:10" ht="13.5" thickBot="1">
      <c r="A45" s="132" t="s">
        <v>10</v>
      </c>
      <c r="B45" s="138">
        <f>'Cost Allocation-OM&amp;A (AirProd)'!B43</f>
        <v>32663.41876931634</v>
      </c>
      <c r="C45" s="138">
        <f>'Cost Allocation-OM&amp;A (AirProd)'!C43</f>
        <v>20758.01815102742</v>
      </c>
      <c r="D45" s="138">
        <f>'Cost Allocation-OM&amp;A (AirProd)'!D43</f>
        <v>20264.06853382559</v>
      </c>
      <c r="E45" s="138">
        <f>'Cost Allocation-OM&amp;A (AirProd)'!E43</f>
        <v>33157.36838651817</v>
      </c>
      <c r="F45" s="138">
        <f>'Cost Allocation-OM&amp;A (AirProd)'!F43</f>
        <v>784.0675601665671</v>
      </c>
      <c r="G45" s="138">
        <f>'Cost Allocation-OM&amp;A (AirProd)'!G43</f>
        <v>6630.774262786917</v>
      </c>
      <c r="H45" s="188">
        <f>'Cost Allocation-OM&amp;A (AirProd)'!H43+'Cost Allocation-OM&amp;A (PMU''s)'!H38</f>
        <v>243054.57106278697</v>
      </c>
      <c r="I45" s="146"/>
      <c r="J45" s="146"/>
    </row>
    <row r="46" spans="1:10" ht="13.5" thickBot="1">
      <c r="A46" s="170" t="s">
        <v>299</v>
      </c>
      <c r="B46" s="138">
        <f>'Cost Allocation-OM&amp;A (AirProd)'!B44</f>
        <v>13987.563825601184</v>
      </c>
      <c r="C46" s="138">
        <f>'Cost Allocation-OM&amp;A (AirProd)'!C44</f>
        <v>6276.504708224406</v>
      </c>
      <c r="D46" s="129"/>
      <c r="E46" s="129"/>
      <c r="F46" s="129"/>
      <c r="G46" s="129"/>
      <c r="H46" s="146"/>
      <c r="I46" s="129"/>
      <c r="J46" s="129"/>
    </row>
    <row r="47" spans="1:10" ht="13.5" thickBot="1">
      <c r="A47" s="170" t="s">
        <v>300</v>
      </c>
      <c r="B47" s="138">
        <f>'Cost Allocation-OM&amp;A (AirProd)'!B45</f>
        <v>448.04289097251774</v>
      </c>
      <c r="C47" s="138">
        <f>'Cost Allocation-OM&amp;A (AirProd)'!C45</f>
        <v>336.0246691940493</v>
      </c>
      <c r="D47" s="129"/>
      <c r="E47" s="129"/>
      <c r="F47" s="153"/>
      <c r="G47" s="156"/>
      <c r="H47" s="146"/>
      <c r="I47" s="129"/>
      <c r="J47" s="129"/>
    </row>
    <row r="48" spans="1:8" ht="24.75" customHeight="1">
      <c r="A48" s="129"/>
      <c r="B48" s="129"/>
      <c r="C48" s="129"/>
      <c r="D48" s="129"/>
      <c r="E48" s="129"/>
      <c r="F48" s="155"/>
      <c r="G48" s="129"/>
      <c r="H48" s="146"/>
    </row>
    <row r="49" spans="1:8" ht="12.75">
      <c r="A49" s="129"/>
      <c r="B49" s="129"/>
      <c r="C49" s="129"/>
      <c r="D49" s="129"/>
      <c r="E49" s="129"/>
      <c r="F49" s="153"/>
      <c r="G49" s="156"/>
      <c r="H49" s="146"/>
    </row>
  </sheetData>
  <sheetProtection/>
  <mergeCells count="9">
    <mergeCell ref="E5:F5"/>
    <mergeCell ref="A36:F36"/>
    <mergeCell ref="A37:F37"/>
    <mergeCell ref="C17:C18"/>
    <mergeCell ref="A26:F26"/>
    <mergeCell ref="A27:A29"/>
    <mergeCell ref="F27:F28"/>
    <mergeCell ref="B28:C28"/>
    <mergeCell ref="D28:E28"/>
  </mergeCells>
  <printOptions gridLines="1"/>
  <pageMargins left="1.2" right="0.7" top="0.75" bottom="0.75" header="0.3" footer="0.3"/>
  <pageSetup horizontalDpi="600" verticalDpi="600" orientation="landscape" paperSize="17" scale="85" r:id="rId1"/>
  <headerFooter>
    <oddFooter>&amp;LHaldimand County Hydro Inc.
Page &amp;P of &amp;N&amp;C&amp;F
Direct Inputs into &amp;A&amp;RPrepared by: S. Graham
Re: 2014 Cost of Service Rate Application
Updated: March 4, 2014 with Interrogatory Responses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zoomScale="77" zoomScaleNormal="77" zoomScalePageLayoutView="0" workbookViewId="0" topLeftCell="A1">
      <selection activeCell="A110" sqref="A110"/>
    </sheetView>
  </sheetViews>
  <sheetFormatPr defaultColWidth="9.140625" defaultRowHeight="12.75"/>
  <cols>
    <col min="1" max="1" width="88.421875" style="1" customWidth="1"/>
    <col min="2" max="2" width="6.8515625" style="1" customWidth="1"/>
    <col min="3" max="3" width="55.28125" style="1" customWidth="1"/>
    <col min="4" max="4" width="9.140625" style="22" customWidth="1"/>
    <col min="5" max="5" width="18.00390625" style="24" customWidth="1"/>
    <col min="6" max="16384" width="9.140625" style="1" customWidth="1"/>
  </cols>
  <sheetData>
    <row r="1" spans="1:5" ht="17.25" thickBot="1">
      <c r="A1" s="207" t="s">
        <v>304</v>
      </c>
      <c r="B1" s="208"/>
      <c r="C1" s="208"/>
      <c r="D1" s="208"/>
      <c r="E1" s="209"/>
    </row>
    <row r="2" spans="1:2" ht="15.75">
      <c r="A2" s="16"/>
      <c r="B2" s="16"/>
    </row>
    <row r="3" spans="1:5" ht="15.75">
      <c r="A3" s="27"/>
      <c r="B3" s="16"/>
      <c r="E3" s="95" t="s">
        <v>35</v>
      </c>
    </row>
    <row r="4" spans="1:5" ht="15.75">
      <c r="A4" s="16"/>
      <c r="B4" s="16"/>
      <c r="E4" s="96" t="s">
        <v>36</v>
      </c>
    </row>
    <row r="5" spans="1:2" ht="15.75">
      <c r="A5" s="16"/>
      <c r="B5" s="16"/>
    </row>
    <row r="6" spans="1:5" ht="15.75">
      <c r="A6" s="16"/>
      <c r="B6" s="17"/>
      <c r="E6" s="33" t="s">
        <v>0</v>
      </c>
    </row>
    <row r="7" spans="1:5" ht="15.75">
      <c r="A7" s="25" t="s">
        <v>1</v>
      </c>
      <c r="B7" s="18"/>
      <c r="D7" s="22" t="s">
        <v>62</v>
      </c>
      <c r="E7" s="34">
        <v>0.0284</v>
      </c>
    </row>
    <row r="8" spans="1:7" ht="15.75" customHeight="1">
      <c r="A8" s="26" t="s">
        <v>2</v>
      </c>
      <c r="B8" s="19"/>
      <c r="D8" s="22" t="s">
        <v>63</v>
      </c>
      <c r="E8" s="34">
        <v>0.0936</v>
      </c>
      <c r="G8" s="1" t="s">
        <v>313</v>
      </c>
    </row>
    <row r="9" spans="1:7" ht="15.75">
      <c r="A9" s="25" t="s">
        <v>109</v>
      </c>
      <c r="B9" s="18"/>
      <c r="D9" s="22" t="s">
        <v>64</v>
      </c>
      <c r="E9" s="34">
        <v>0.265</v>
      </c>
      <c r="G9" s="1" t="s">
        <v>236</v>
      </c>
    </row>
    <row r="10" spans="1:5" ht="15.75">
      <c r="A10" s="25" t="s">
        <v>135</v>
      </c>
      <c r="B10" s="18"/>
      <c r="D10" s="22" t="s">
        <v>65</v>
      </c>
      <c r="E10" s="83">
        <f>(+E13*E7)+(E14*E8)</f>
        <v>0.05448</v>
      </c>
    </row>
    <row r="11" spans="1:5" ht="15.75">
      <c r="A11" s="25" t="s">
        <v>134</v>
      </c>
      <c r="B11" s="18"/>
      <c r="D11" s="22" t="s">
        <v>138</v>
      </c>
      <c r="E11" s="83">
        <f>(+E14*E8)</f>
        <v>0.03744</v>
      </c>
    </row>
    <row r="12" spans="1:5" ht="15.75">
      <c r="A12" s="25"/>
      <c r="B12" s="18"/>
      <c r="E12" s="35"/>
    </row>
    <row r="13" spans="1:7" ht="15.75">
      <c r="A13" s="25" t="s">
        <v>34</v>
      </c>
      <c r="B13" s="18"/>
      <c r="D13" s="22" t="s">
        <v>66</v>
      </c>
      <c r="E13" s="34">
        <v>0.6</v>
      </c>
      <c r="G13" s="1" t="s">
        <v>313</v>
      </c>
    </row>
    <row r="14" spans="1:7" ht="15.75">
      <c r="A14" s="25" t="s">
        <v>33</v>
      </c>
      <c r="B14" s="18"/>
      <c r="D14" s="22" t="s">
        <v>67</v>
      </c>
      <c r="E14" s="34">
        <v>0.4</v>
      </c>
      <c r="G14" s="1" t="s">
        <v>236</v>
      </c>
    </row>
    <row r="15" spans="1:2" ht="15.75">
      <c r="A15" s="16"/>
      <c r="B15" s="16"/>
    </row>
    <row r="16" spans="1:5" ht="15.75">
      <c r="A16" s="16" t="s">
        <v>73</v>
      </c>
      <c r="B16" s="16"/>
      <c r="D16" s="22" t="s">
        <v>68</v>
      </c>
      <c r="E16" s="29">
        <v>0.13</v>
      </c>
    </row>
    <row r="17" spans="1:7" ht="15.75">
      <c r="A17" s="199" t="s">
        <v>110</v>
      </c>
      <c r="B17" s="16"/>
      <c r="D17" s="22" t="s">
        <v>111</v>
      </c>
      <c r="E17" s="29">
        <v>0</v>
      </c>
      <c r="F17" s="198" t="s">
        <v>233</v>
      </c>
      <c r="G17" s="198"/>
    </row>
    <row r="18" spans="1:2" ht="15.75">
      <c r="A18" s="199"/>
      <c r="B18" s="16"/>
    </row>
    <row r="19" spans="1:2" ht="15.75">
      <c r="A19" s="199" t="s">
        <v>121</v>
      </c>
      <c r="B19" s="16"/>
    </row>
    <row r="20" spans="1:5" ht="15.75">
      <c r="A20" s="198" t="s">
        <v>122</v>
      </c>
      <c r="B20" s="16"/>
      <c r="C20" s="1" t="s">
        <v>314</v>
      </c>
      <c r="D20" s="22" t="s">
        <v>125</v>
      </c>
      <c r="E20" s="90">
        <f>(83.95+89)/2/1000</f>
        <v>0.086475</v>
      </c>
    </row>
    <row r="21" spans="1:5" ht="15.75">
      <c r="A21" s="198" t="s">
        <v>222</v>
      </c>
      <c r="B21" s="16"/>
      <c r="C21" s="1" t="s">
        <v>194</v>
      </c>
      <c r="D21" s="22" t="s">
        <v>126</v>
      </c>
      <c r="E21" s="90">
        <f>0.0044+0.0013</f>
        <v>0.0057</v>
      </c>
    </row>
    <row r="22" spans="1:11" ht="15.75">
      <c r="A22" s="198" t="s">
        <v>223</v>
      </c>
      <c r="B22" s="16"/>
      <c r="C22" s="1" t="s">
        <v>194</v>
      </c>
      <c r="D22" s="22" t="s">
        <v>127</v>
      </c>
      <c r="E22" s="90">
        <v>2.9566</v>
      </c>
      <c r="F22" s="198"/>
      <c r="G22" s="210" t="s">
        <v>324</v>
      </c>
      <c r="H22" s="210"/>
      <c r="I22" s="210"/>
      <c r="J22" s="210"/>
      <c r="K22" s="210"/>
    </row>
    <row r="23" spans="1:11" ht="15.75">
      <c r="A23" s="198" t="s">
        <v>224</v>
      </c>
      <c r="B23" s="16"/>
      <c r="C23" s="1" t="s">
        <v>194</v>
      </c>
      <c r="D23" s="22" t="s">
        <v>128</v>
      </c>
      <c r="E23" s="90">
        <v>2.3933</v>
      </c>
      <c r="F23" s="198"/>
      <c r="G23" s="210"/>
      <c r="H23" s="210"/>
      <c r="I23" s="210"/>
      <c r="J23" s="210"/>
      <c r="K23" s="210"/>
    </row>
    <row r="24" spans="1:2" ht="15.75">
      <c r="A24" s="199"/>
      <c r="B24" s="16"/>
    </row>
    <row r="25" spans="1:7" ht="15.75">
      <c r="A25" s="16" t="s">
        <v>197</v>
      </c>
      <c r="B25" s="16"/>
      <c r="C25" s="1" t="s">
        <v>198</v>
      </c>
      <c r="D25" s="22" t="s">
        <v>195</v>
      </c>
      <c r="E25" s="97">
        <v>0</v>
      </c>
      <c r="F25" s="127" t="s">
        <v>234</v>
      </c>
      <c r="G25" s="127"/>
    </row>
    <row r="26" spans="1:7" ht="15.75">
      <c r="A26" s="16" t="s">
        <v>199</v>
      </c>
      <c r="B26" s="16"/>
      <c r="C26" s="1" t="s">
        <v>200</v>
      </c>
      <c r="D26" s="22" t="s">
        <v>196</v>
      </c>
      <c r="E26" s="97">
        <v>0</v>
      </c>
      <c r="F26" s="127" t="s">
        <v>235</v>
      </c>
      <c r="G26" s="127"/>
    </row>
    <row r="27" spans="1:2" ht="15.75">
      <c r="A27" s="27"/>
      <c r="B27" s="20"/>
    </row>
    <row r="28" spans="1:5" ht="15.75" hidden="1">
      <c r="A28" s="36" t="s">
        <v>9</v>
      </c>
      <c r="B28" s="37"/>
      <c r="C28" s="53" t="s">
        <v>20</v>
      </c>
      <c r="D28" s="53"/>
      <c r="E28" s="46" t="s">
        <v>15</v>
      </c>
    </row>
    <row r="29" spans="1:5" ht="30.75" hidden="1">
      <c r="A29" s="38" t="s">
        <v>19</v>
      </c>
      <c r="B29" s="21"/>
      <c r="C29" s="84" t="s">
        <v>102</v>
      </c>
      <c r="D29" s="59" t="s">
        <v>46</v>
      </c>
      <c r="E29" s="57"/>
    </row>
    <row r="30" spans="1:5" ht="15.75" hidden="1">
      <c r="A30" s="38" t="s">
        <v>117</v>
      </c>
      <c r="B30" s="21"/>
      <c r="C30" s="84" t="s">
        <v>166</v>
      </c>
      <c r="D30" s="59" t="s">
        <v>112</v>
      </c>
      <c r="E30" s="58">
        <f>+E29*(1+$E$17)</f>
        <v>0</v>
      </c>
    </row>
    <row r="31" spans="1:5" ht="15.75" hidden="1">
      <c r="A31" s="38" t="s">
        <v>5</v>
      </c>
      <c r="B31" s="21"/>
      <c r="C31" s="54" t="s">
        <v>25</v>
      </c>
      <c r="D31" s="59" t="s">
        <v>47</v>
      </c>
      <c r="E31" s="57"/>
    </row>
    <row r="32" spans="1:5" ht="15.75" hidden="1">
      <c r="A32" s="38" t="s">
        <v>6</v>
      </c>
      <c r="B32" s="21"/>
      <c r="C32" s="55" t="s">
        <v>28</v>
      </c>
      <c r="D32" s="59" t="s">
        <v>48</v>
      </c>
      <c r="E32" s="57"/>
    </row>
    <row r="33" spans="1:5" ht="15.75" hidden="1">
      <c r="A33" s="38" t="s">
        <v>61</v>
      </c>
      <c r="B33" s="21"/>
      <c r="C33" s="54" t="s">
        <v>29</v>
      </c>
      <c r="D33" s="59" t="s">
        <v>49</v>
      </c>
      <c r="E33" s="57"/>
    </row>
    <row r="34" spans="1:5" ht="15.75" hidden="1">
      <c r="A34" s="38" t="s">
        <v>8</v>
      </c>
      <c r="B34" s="21"/>
      <c r="C34" s="54" t="s">
        <v>30</v>
      </c>
      <c r="D34" s="59" t="s">
        <v>50</v>
      </c>
      <c r="E34" s="58">
        <f>+E31-E32</f>
        <v>0</v>
      </c>
    </row>
    <row r="35" spans="1:5" ht="15.75" hidden="1">
      <c r="A35" s="38"/>
      <c r="B35" s="21"/>
      <c r="C35" s="54"/>
      <c r="D35" s="59"/>
      <c r="E35" s="39"/>
    </row>
    <row r="36" spans="1:6" ht="15.75" hidden="1">
      <c r="A36" s="40" t="s">
        <v>38</v>
      </c>
      <c r="B36" s="20"/>
      <c r="C36" s="56"/>
      <c r="D36" s="59" t="s">
        <v>85</v>
      </c>
      <c r="E36" s="57"/>
      <c r="F36" s="128"/>
    </row>
    <row r="37" spans="1:5" ht="15.75" hidden="1">
      <c r="A37" s="40" t="s">
        <v>37</v>
      </c>
      <c r="B37" s="20"/>
      <c r="C37" s="56"/>
      <c r="D37" s="59" t="s">
        <v>86</v>
      </c>
      <c r="E37" s="57"/>
    </row>
    <row r="38" spans="1:5" ht="15.75" hidden="1">
      <c r="A38" s="40" t="s">
        <v>231</v>
      </c>
      <c r="B38" s="20" t="s">
        <v>216</v>
      </c>
      <c r="C38" s="54" t="s">
        <v>188</v>
      </c>
      <c r="D38" s="59" t="s">
        <v>120</v>
      </c>
      <c r="E38" s="57"/>
    </row>
    <row r="39" spans="1:5" ht="15.75" hidden="1">
      <c r="A39" s="40"/>
      <c r="B39" s="20"/>
      <c r="C39" s="54"/>
      <c r="D39" s="59"/>
      <c r="E39" s="39"/>
    </row>
    <row r="40" spans="1:5" ht="15.75" hidden="1">
      <c r="A40" s="42" t="s">
        <v>75</v>
      </c>
      <c r="B40" s="21"/>
      <c r="C40" s="54"/>
      <c r="D40" s="59"/>
      <c r="E40" s="39"/>
    </row>
    <row r="41" spans="1:5" ht="15.75" hidden="1">
      <c r="A41" s="38" t="s">
        <v>45</v>
      </c>
      <c r="B41" s="21"/>
      <c r="C41" s="54" t="s">
        <v>74</v>
      </c>
      <c r="D41" s="59" t="s">
        <v>69</v>
      </c>
      <c r="E41" s="58">
        <f>+E34</f>
        <v>0</v>
      </c>
    </row>
    <row r="42" spans="1:5" ht="15.75" hidden="1">
      <c r="A42" s="51" t="s">
        <v>115</v>
      </c>
      <c r="B42" s="21"/>
      <c r="C42" s="54"/>
      <c r="D42" s="59"/>
      <c r="E42" s="91"/>
    </row>
    <row r="43" spans="1:5" ht="15.75" hidden="1">
      <c r="A43" s="38" t="s">
        <v>116</v>
      </c>
      <c r="B43" s="21"/>
      <c r="C43" s="54" t="s">
        <v>132</v>
      </c>
      <c r="D43" s="89"/>
      <c r="E43" s="88">
        <f>+E30</f>
        <v>0</v>
      </c>
    </row>
    <row r="44" spans="1:5" ht="15.75" hidden="1">
      <c r="A44" s="51" t="s">
        <v>118</v>
      </c>
      <c r="B44" s="21"/>
      <c r="C44" s="54"/>
      <c r="D44" s="89"/>
      <c r="E44" s="92"/>
    </row>
    <row r="45" spans="1:5" ht="15.75" hidden="1">
      <c r="A45" s="38" t="s">
        <v>119</v>
      </c>
      <c r="B45" s="21"/>
      <c r="C45" s="54" t="s">
        <v>139</v>
      </c>
      <c r="D45" s="89"/>
      <c r="E45" s="88">
        <f>+E38*$E$20</f>
        <v>0</v>
      </c>
    </row>
    <row r="46" spans="1:5" ht="15.75" hidden="1">
      <c r="A46" s="38" t="s">
        <v>129</v>
      </c>
      <c r="B46" s="21"/>
      <c r="C46" s="54" t="s">
        <v>140</v>
      </c>
      <c r="D46" s="59"/>
      <c r="E46" s="88">
        <f>+E38*$E$21</f>
        <v>0</v>
      </c>
    </row>
    <row r="47" spans="1:5" ht="15.75" hidden="1">
      <c r="A47" s="38" t="s">
        <v>123</v>
      </c>
      <c r="B47" s="21"/>
      <c r="C47" s="54" t="s">
        <v>130</v>
      </c>
      <c r="D47" s="59"/>
      <c r="E47" s="88">
        <f>+E37*$E$22</f>
        <v>0</v>
      </c>
    </row>
    <row r="48" spans="1:5" ht="15.75" hidden="1">
      <c r="A48" s="38" t="s">
        <v>124</v>
      </c>
      <c r="B48" s="21"/>
      <c r="C48" s="54" t="s">
        <v>131</v>
      </c>
      <c r="D48" s="59"/>
      <c r="E48" s="88">
        <f>+E37*$E$23</f>
        <v>0</v>
      </c>
    </row>
    <row r="49" spans="1:5" ht="15.75" hidden="1">
      <c r="A49" s="38" t="s">
        <v>179</v>
      </c>
      <c r="B49" s="21"/>
      <c r="C49" s="54"/>
      <c r="D49" s="59" t="s">
        <v>70</v>
      </c>
      <c r="E49" s="88">
        <f>SUM(E43:E48)</f>
        <v>0</v>
      </c>
    </row>
    <row r="50" spans="1:5" ht="15.75" hidden="1">
      <c r="A50" s="38" t="s">
        <v>177</v>
      </c>
      <c r="B50" s="21"/>
      <c r="C50" s="54" t="s">
        <v>180</v>
      </c>
      <c r="D50" s="59" t="s">
        <v>178</v>
      </c>
      <c r="E50" s="88">
        <f>+E49*$E$16</f>
        <v>0</v>
      </c>
    </row>
    <row r="51" spans="1:5" ht="15.75" hidden="1">
      <c r="A51" s="40" t="s">
        <v>44</v>
      </c>
      <c r="B51" s="16"/>
      <c r="C51" s="54" t="s">
        <v>181</v>
      </c>
      <c r="D51" s="59" t="s">
        <v>84</v>
      </c>
      <c r="E51" s="58">
        <f>+E41+E50</f>
        <v>0</v>
      </c>
    </row>
    <row r="52" spans="1:5" ht="15.75" hidden="1">
      <c r="A52" s="40"/>
      <c r="B52" s="16"/>
      <c r="C52" s="54"/>
      <c r="D52" s="59"/>
      <c r="E52" s="45"/>
    </row>
    <row r="53" spans="1:5" ht="15.75" hidden="1">
      <c r="A53" s="93" t="s">
        <v>133</v>
      </c>
      <c r="B53" s="16"/>
      <c r="C53" s="54"/>
      <c r="D53" s="59"/>
      <c r="E53" s="45"/>
    </row>
    <row r="54" spans="1:5" ht="15.75" hidden="1">
      <c r="A54" s="40" t="s">
        <v>136</v>
      </c>
      <c r="B54" s="16"/>
      <c r="C54" s="54" t="s">
        <v>137</v>
      </c>
      <c r="D54" s="59" t="s">
        <v>142</v>
      </c>
      <c r="E54" s="58">
        <f>+E51*$E$11</f>
        <v>0</v>
      </c>
    </row>
    <row r="55" spans="1:5" ht="15.75" hidden="1">
      <c r="A55" s="40" t="s">
        <v>141</v>
      </c>
      <c r="B55" s="16"/>
      <c r="C55" s="54" t="s">
        <v>143</v>
      </c>
      <c r="D55" s="59" t="s">
        <v>144</v>
      </c>
      <c r="E55" s="58">
        <f>+E54*$E$9</f>
        <v>0</v>
      </c>
    </row>
    <row r="56" spans="1:5" ht="15.75" hidden="1">
      <c r="A56" s="40" t="s">
        <v>202</v>
      </c>
      <c r="B56" s="16"/>
      <c r="C56" s="54" t="s">
        <v>145</v>
      </c>
      <c r="D56" s="59" t="s">
        <v>146</v>
      </c>
      <c r="E56" s="58">
        <f>+E55/(1-$E$9)</f>
        <v>0</v>
      </c>
    </row>
    <row r="57" spans="1:5" ht="16.5" hidden="1" thickBot="1">
      <c r="A57" s="43"/>
      <c r="B57" s="44"/>
      <c r="C57" s="126"/>
      <c r="D57" s="60"/>
      <c r="E57" s="94"/>
    </row>
    <row r="58" spans="1:5" ht="15.75" hidden="1">
      <c r="A58" s="16"/>
      <c r="B58" s="16"/>
      <c r="C58" s="16"/>
      <c r="D58" s="52"/>
      <c r="E58" s="28"/>
    </row>
    <row r="59" spans="1:2" ht="15.75" hidden="1">
      <c r="A59" s="27"/>
      <c r="B59" s="20"/>
    </row>
    <row r="60" spans="1:5" ht="15.75" hidden="1">
      <c r="A60" s="36" t="s">
        <v>22</v>
      </c>
      <c r="B60" s="37"/>
      <c r="C60" s="53" t="s">
        <v>20</v>
      </c>
      <c r="D60" s="53"/>
      <c r="E60" s="46" t="s">
        <v>15</v>
      </c>
    </row>
    <row r="61" spans="1:5" ht="30.75" hidden="1">
      <c r="A61" s="38" t="s">
        <v>19</v>
      </c>
      <c r="B61" s="21"/>
      <c r="C61" s="84" t="s">
        <v>103</v>
      </c>
      <c r="D61" s="59" t="s">
        <v>51</v>
      </c>
      <c r="E61" s="57"/>
    </row>
    <row r="62" spans="1:5" ht="15.75" hidden="1">
      <c r="A62" s="38" t="s">
        <v>117</v>
      </c>
      <c r="B62" s="21"/>
      <c r="C62" s="84" t="s">
        <v>165</v>
      </c>
      <c r="D62" s="59" t="s">
        <v>113</v>
      </c>
      <c r="E62" s="57">
        <f>+E61*(1+$E$17)</f>
        <v>0</v>
      </c>
    </row>
    <row r="63" spans="1:5" ht="15.75" hidden="1">
      <c r="A63" s="38" t="s">
        <v>5</v>
      </c>
      <c r="B63" s="21"/>
      <c r="C63" s="54" t="s">
        <v>26</v>
      </c>
      <c r="D63" s="59" t="s">
        <v>52</v>
      </c>
      <c r="E63" s="57"/>
    </row>
    <row r="64" spans="1:5" ht="15.75" hidden="1">
      <c r="A64" s="38" t="s">
        <v>6</v>
      </c>
      <c r="B64" s="21"/>
      <c r="C64" s="55" t="s">
        <v>28</v>
      </c>
      <c r="D64" s="59" t="s">
        <v>53</v>
      </c>
      <c r="E64" s="57"/>
    </row>
    <row r="65" spans="1:5" ht="15.75" hidden="1">
      <c r="A65" s="38" t="s">
        <v>61</v>
      </c>
      <c r="B65" s="21"/>
      <c r="C65" s="54" t="s">
        <v>29</v>
      </c>
      <c r="D65" s="59" t="s">
        <v>54</v>
      </c>
      <c r="E65" s="57"/>
    </row>
    <row r="66" spans="1:5" ht="15.75" hidden="1">
      <c r="A66" s="38" t="s">
        <v>8</v>
      </c>
      <c r="B66" s="21"/>
      <c r="C66" s="54" t="s">
        <v>31</v>
      </c>
      <c r="D66" s="59" t="s">
        <v>55</v>
      </c>
      <c r="E66" s="58">
        <f>+E63-E64</f>
        <v>0</v>
      </c>
    </row>
    <row r="67" spans="1:5" ht="15.75" hidden="1">
      <c r="A67" s="41"/>
      <c r="B67" s="20"/>
      <c r="C67" s="54"/>
      <c r="D67" s="59"/>
      <c r="E67" s="39"/>
    </row>
    <row r="68" spans="1:5" ht="15.75" hidden="1">
      <c r="A68" s="40" t="s">
        <v>40</v>
      </c>
      <c r="B68" s="20"/>
      <c r="C68" s="56"/>
      <c r="D68" s="59" t="s">
        <v>87</v>
      </c>
      <c r="E68" s="57">
        <v>0</v>
      </c>
    </row>
    <row r="69" spans="1:5" ht="15.75" hidden="1">
      <c r="A69" s="40" t="s">
        <v>39</v>
      </c>
      <c r="B69" s="20"/>
      <c r="C69" s="56"/>
      <c r="D69" s="59" t="s">
        <v>88</v>
      </c>
      <c r="E69" s="57">
        <v>0</v>
      </c>
    </row>
    <row r="70" spans="1:5" ht="15.75" hidden="1">
      <c r="A70" s="40" t="s">
        <v>230</v>
      </c>
      <c r="B70" s="20" t="s">
        <v>216</v>
      </c>
      <c r="C70" s="54" t="s">
        <v>188</v>
      </c>
      <c r="D70" s="59" t="s">
        <v>147</v>
      </c>
      <c r="E70" s="57">
        <v>0</v>
      </c>
    </row>
    <row r="71" spans="1:5" ht="15.75" hidden="1">
      <c r="A71" s="40"/>
      <c r="B71" s="20"/>
      <c r="C71" s="54"/>
      <c r="D71" s="59"/>
      <c r="E71" s="45"/>
    </row>
    <row r="72" spans="1:5" ht="15.75" hidden="1">
      <c r="A72" s="42" t="s">
        <v>76</v>
      </c>
      <c r="B72" s="21"/>
      <c r="C72" s="54"/>
      <c r="D72" s="59"/>
      <c r="E72" s="39"/>
    </row>
    <row r="73" spans="1:5" ht="15.75" hidden="1">
      <c r="A73" s="38" t="s">
        <v>45</v>
      </c>
      <c r="B73" s="21"/>
      <c r="C73" s="54" t="s">
        <v>77</v>
      </c>
      <c r="D73" s="59" t="s">
        <v>93</v>
      </c>
      <c r="E73" s="58">
        <f>+E66</f>
        <v>0</v>
      </c>
    </row>
    <row r="74" spans="1:5" ht="15.75" hidden="1">
      <c r="A74" s="51" t="s">
        <v>115</v>
      </c>
      <c r="B74" s="21"/>
      <c r="C74" s="54"/>
      <c r="D74" s="59"/>
      <c r="E74" s="91"/>
    </row>
    <row r="75" spans="1:5" ht="15.75" hidden="1">
      <c r="A75" s="38" t="s">
        <v>116</v>
      </c>
      <c r="B75" s="21"/>
      <c r="C75" s="54" t="s">
        <v>148</v>
      </c>
      <c r="D75" s="89"/>
      <c r="E75" s="88">
        <f>+E62</f>
        <v>0</v>
      </c>
    </row>
    <row r="76" spans="1:5" ht="15.75" hidden="1">
      <c r="A76" s="51" t="s">
        <v>118</v>
      </c>
      <c r="B76" s="21"/>
      <c r="C76" s="54"/>
      <c r="D76" s="89"/>
      <c r="E76" s="92"/>
    </row>
    <row r="77" spans="1:5" ht="15.75" hidden="1">
      <c r="A77" s="38" t="s">
        <v>119</v>
      </c>
      <c r="B77" s="21"/>
      <c r="C77" s="54" t="s">
        <v>149</v>
      </c>
      <c r="D77" s="89"/>
      <c r="E77" s="88">
        <f>+E70*$E$20</f>
        <v>0</v>
      </c>
    </row>
    <row r="78" spans="1:5" ht="15.75" hidden="1">
      <c r="A78" s="38" t="s">
        <v>129</v>
      </c>
      <c r="B78" s="21"/>
      <c r="C78" s="54" t="s">
        <v>150</v>
      </c>
      <c r="D78" s="59"/>
      <c r="E78" s="88">
        <f>+E70*$E$21</f>
        <v>0</v>
      </c>
    </row>
    <row r="79" spans="1:5" ht="15.75" hidden="1">
      <c r="A79" s="38" t="s">
        <v>123</v>
      </c>
      <c r="B79" s="21"/>
      <c r="C79" s="54" t="s">
        <v>151</v>
      </c>
      <c r="D79" s="59"/>
      <c r="E79" s="88">
        <f>+E69*$E$22</f>
        <v>0</v>
      </c>
    </row>
    <row r="80" spans="1:5" ht="15.75" hidden="1">
      <c r="A80" s="38" t="s">
        <v>124</v>
      </c>
      <c r="B80" s="21"/>
      <c r="C80" s="54" t="s">
        <v>152</v>
      </c>
      <c r="D80" s="59"/>
      <c r="E80" s="88">
        <f>+E69*$E$23</f>
        <v>0</v>
      </c>
    </row>
    <row r="81" spans="1:5" ht="15.75" hidden="1">
      <c r="A81" s="38" t="s">
        <v>179</v>
      </c>
      <c r="B81" s="21"/>
      <c r="C81" s="54"/>
      <c r="D81" s="59" t="s">
        <v>153</v>
      </c>
      <c r="E81" s="88">
        <f>SUM(E75:E80)</f>
        <v>0</v>
      </c>
    </row>
    <row r="82" spans="1:5" ht="15.75" hidden="1">
      <c r="A82" s="38" t="s">
        <v>177</v>
      </c>
      <c r="B82" s="21"/>
      <c r="C82" s="54" t="s">
        <v>185</v>
      </c>
      <c r="D82" s="59" t="s">
        <v>182</v>
      </c>
      <c r="E82" s="88">
        <f>+E81*$E$16</f>
        <v>0</v>
      </c>
    </row>
    <row r="83" spans="1:5" ht="15.75" hidden="1">
      <c r="A83" s="40" t="s">
        <v>44</v>
      </c>
      <c r="B83" s="16"/>
      <c r="C83" s="54" t="s">
        <v>183</v>
      </c>
      <c r="D83" s="59" t="s">
        <v>154</v>
      </c>
      <c r="E83" s="58">
        <f>+E73+E81</f>
        <v>0</v>
      </c>
    </row>
    <row r="84" spans="1:5" ht="15.75" hidden="1">
      <c r="A84" s="40"/>
      <c r="B84" s="16"/>
      <c r="C84" s="54"/>
      <c r="D84" s="59"/>
      <c r="E84" s="45"/>
    </row>
    <row r="85" spans="1:5" ht="15.75" hidden="1">
      <c r="A85" s="93" t="s">
        <v>133</v>
      </c>
      <c r="B85" s="16"/>
      <c r="C85" s="54"/>
      <c r="D85" s="59"/>
      <c r="E85" s="45"/>
    </row>
    <row r="86" spans="1:5" ht="15.75" hidden="1">
      <c r="A86" s="40" t="s">
        <v>136</v>
      </c>
      <c r="B86" s="16"/>
      <c r="C86" s="54" t="s">
        <v>155</v>
      </c>
      <c r="D86" s="59" t="s">
        <v>156</v>
      </c>
      <c r="E86" s="58">
        <f>+E83*$E$11</f>
        <v>0</v>
      </c>
    </row>
    <row r="87" spans="1:5" ht="15.75" hidden="1">
      <c r="A87" s="40" t="s">
        <v>141</v>
      </c>
      <c r="B87" s="16"/>
      <c r="C87" s="54" t="s">
        <v>159</v>
      </c>
      <c r="D87" s="59" t="s">
        <v>157</v>
      </c>
      <c r="E87" s="58">
        <f>+E86*$E$9</f>
        <v>0</v>
      </c>
    </row>
    <row r="88" spans="1:5" ht="15.75" hidden="1">
      <c r="A88" s="40" t="s">
        <v>202</v>
      </c>
      <c r="B88" s="16"/>
      <c r="C88" s="54" t="s">
        <v>160</v>
      </c>
      <c r="D88" s="59" t="s">
        <v>158</v>
      </c>
      <c r="E88" s="58">
        <f>+E87/(1-$E$9)</f>
        <v>0</v>
      </c>
    </row>
    <row r="89" spans="1:5" ht="16.5" hidden="1" thickBot="1">
      <c r="A89" s="43"/>
      <c r="B89" s="44"/>
      <c r="C89" s="126"/>
      <c r="D89" s="60"/>
      <c r="E89" s="94"/>
    </row>
    <row r="91" ht="16.5" thickBot="1"/>
    <row r="92" spans="1:5" ht="15.75">
      <c r="A92" s="36" t="s">
        <v>79</v>
      </c>
      <c r="B92" s="37"/>
      <c r="C92" s="53" t="s">
        <v>20</v>
      </c>
      <c r="D92" s="53"/>
      <c r="E92" s="46" t="s">
        <v>15</v>
      </c>
    </row>
    <row r="93" spans="1:6" ht="15.75">
      <c r="A93" s="38" t="s">
        <v>19</v>
      </c>
      <c r="B93" s="23" t="s">
        <v>23</v>
      </c>
      <c r="C93" s="54" t="s">
        <v>105</v>
      </c>
      <c r="D93" s="59" t="s">
        <v>56</v>
      </c>
      <c r="E93" s="57">
        <f>'Cost Allocation-OM&amp;A (PMU''s)'!C72</f>
        <v>0</v>
      </c>
      <c r="F93" s="198"/>
    </row>
    <row r="94" spans="1:6" ht="15.75">
      <c r="A94" s="38"/>
      <c r="B94" s="23"/>
      <c r="C94" s="54" t="s">
        <v>192</v>
      </c>
      <c r="D94" s="59"/>
      <c r="E94" s="45"/>
      <c r="F94" s="198"/>
    </row>
    <row r="95" spans="1:6" ht="15.75">
      <c r="A95" s="38"/>
      <c r="B95" s="23" t="s">
        <v>24</v>
      </c>
      <c r="C95" s="54" t="s">
        <v>104</v>
      </c>
      <c r="D95" s="59"/>
      <c r="E95" s="45"/>
      <c r="F95" s="198"/>
    </row>
    <row r="96" spans="1:6" ht="15.75">
      <c r="A96" s="38"/>
      <c r="B96" s="21"/>
      <c r="C96" s="54" t="s">
        <v>193</v>
      </c>
      <c r="D96" s="59"/>
      <c r="E96" s="45"/>
      <c r="F96" s="198"/>
    </row>
    <row r="97" spans="1:6" ht="15.75">
      <c r="A97" s="38" t="s">
        <v>117</v>
      </c>
      <c r="B97" s="21"/>
      <c r="C97" s="84" t="s">
        <v>164</v>
      </c>
      <c r="D97" s="59" t="s">
        <v>114</v>
      </c>
      <c r="E97" s="58">
        <f>+E93*(1+$E$17)</f>
        <v>0</v>
      </c>
      <c r="F97" s="198"/>
    </row>
    <row r="98" spans="1:6" ht="15.75">
      <c r="A98" s="38" t="s">
        <v>5</v>
      </c>
      <c r="B98" s="23" t="s">
        <v>23</v>
      </c>
      <c r="C98" s="54" t="s">
        <v>161</v>
      </c>
      <c r="D98" s="59" t="s">
        <v>57</v>
      </c>
      <c r="E98" s="57">
        <f>'Cost Allocation-OM&amp;A (PMU''s)'!C18</f>
        <v>0</v>
      </c>
      <c r="F98" s="198"/>
    </row>
    <row r="99" spans="1:6" ht="15.75">
      <c r="A99" s="38"/>
      <c r="B99" s="23" t="s">
        <v>24</v>
      </c>
      <c r="C99" s="54" t="s">
        <v>27</v>
      </c>
      <c r="D99" s="59"/>
      <c r="E99" s="45"/>
      <c r="F99" s="198"/>
    </row>
    <row r="100" spans="1:6" ht="15.75">
      <c r="A100" s="38" t="s">
        <v>6</v>
      </c>
      <c r="B100" s="21"/>
      <c r="C100" s="55" t="s">
        <v>28</v>
      </c>
      <c r="D100" s="59" t="s">
        <v>58</v>
      </c>
      <c r="E100" s="57">
        <f>'Cost Allocation-OM&amp;A (PMU''s)'!D18</f>
        <v>0</v>
      </c>
      <c r="F100" s="198"/>
    </row>
    <row r="101" spans="1:6" ht="15.75">
      <c r="A101" s="38" t="s">
        <v>61</v>
      </c>
      <c r="B101" s="21"/>
      <c r="C101" s="54" t="s">
        <v>29</v>
      </c>
      <c r="D101" s="59" t="s">
        <v>59</v>
      </c>
      <c r="E101" s="57">
        <f>'Cost Allocation-OM&amp;A (PMU''s)'!E18</f>
        <v>0</v>
      </c>
      <c r="F101" s="198"/>
    </row>
    <row r="102" spans="1:6" ht="15.75">
      <c r="A102" s="38" t="s">
        <v>8</v>
      </c>
      <c r="B102" s="21"/>
      <c r="C102" s="54" t="s">
        <v>32</v>
      </c>
      <c r="D102" s="59" t="s">
        <v>60</v>
      </c>
      <c r="E102" s="58">
        <f>+E98-E100</f>
        <v>0</v>
      </c>
      <c r="F102" s="198"/>
    </row>
    <row r="103" spans="1:5" ht="15.75">
      <c r="A103" s="38"/>
      <c r="B103" s="21"/>
      <c r="C103" s="54"/>
      <c r="D103" s="59"/>
      <c r="E103" s="39"/>
    </row>
    <row r="104" spans="1:7" ht="15.75">
      <c r="A104" s="40" t="s">
        <v>42</v>
      </c>
      <c r="B104" s="20"/>
      <c r="C104" s="54"/>
      <c r="D104" s="59" t="s">
        <v>89</v>
      </c>
      <c r="E104" s="57">
        <f>111395.9+133033.7</f>
        <v>244429.6</v>
      </c>
      <c r="G104" s="198" t="s">
        <v>321</v>
      </c>
    </row>
    <row r="105" spans="1:7" ht="15.75">
      <c r="A105" s="40" t="s">
        <v>41</v>
      </c>
      <c r="B105" s="20"/>
      <c r="C105" s="54"/>
      <c r="D105" s="59" t="s">
        <v>90</v>
      </c>
      <c r="E105" s="57">
        <v>172657</v>
      </c>
      <c r="G105" s="198" t="s">
        <v>320</v>
      </c>
    </row>
    <row r="106" spans="1:7" ht="15.75">
      <c r="A106" s="40" t="s">
        <v>229</v>
      </c>
      <c r="B106" s="20" t="s">
        <v>216</v>
      </c>
      <c r="C106" s="54" t="s">
        <v>188</v>
      </c>
      <c r="D106" s="59" t="s">
        <v>162</v>
      </c>
      <c r="E106" s="57">
        <f>72629941*1.0288</f>
        <v>74721683.3008</v>
      </c>
      <c r="G106" s="1" t="s">
        <v>237</v>
      </c>
    </row>
    <row r="107" spans="1:7" ht="15.75">
      <c r="A107" s="40"/>
      <c r="B107" s="16"/>
      <c r="C107" s="54"/>
      <c r="D107" s="59"/>
      <c r="E107" s="39"/>
      <c r="G107" s="1" t="s">
        <v>238</v>
      </c>
    </row>
    <row r="108" spans="1:6" ht="15.75">
      <c r="A108" s="85" t="s">
        <v>108</v>
      </c>
      <c r="B108" s="21"/>
      <c r="C108" s="54"/>
      <c r="D108" s="59" t="s">
        <v>91</v>
      </c>
      <c r="E108" s="57"/>
      <c r="F108" s="127"/>
    </row>
    <row r="109" spans="1:5" ht="15.75">
      <c r="A109" s="38" t="s">
        <v>43</v>
      </c>
      <c r="B109" s="21"/>
      <c r="C109" s="54"/>
      <c r="D109" s="59" t="s">
        <v>92</v>
      </c>
      <c r="E109" s="61"/>
    </row>
    <row r="110" spans="1:5" ht="15.75">
      <c r="A110" s="38"/>
      <c r="B110" s="21"/>
      <c r="C110" s="54"/>
      <c r="D110" s="59"/>
      <c r="E110" s="39"/>
    </row>
    <row r="111" spans="1:5" ht="15.75">
      <c r="A111" s="42" t="s">
        <v>80</v>
      </c>
      <c r="B111" s="21"/>
      <c r="C111" s="54"/>
      <c r="D111" s="59"/>
      <c r="E111" s="39"/>
    </row>
    <row r="112" spans="1:5" ht="15.75">
      <c r="A112" s="38" t="s">
        <v>45</v>
      </c>
      <c r="B112" s="21"/>
      <c r="C112" s="54" t="s">
        <v>78</v>
      </c>
      <c r="D112" s="59" t="s">
        <v>94</v>
      </c>
      <c r="E112" s="58">
        <f>+E102</f>
        <v>0</v>
      </c>
    </row>
    <row r="113" spans="1:5" ht="15.75">
      <c r="A113" s="51" t="s">
        <v>115</v>
      </c>
      <c r="B113" s="21"/>
      <c r="C113" s="54"/>
      <c r="D113" s="59"/>
      <c r="E113" s="91"/>
    </row>
    <row r="114" spans="1:5" ht="15.75">
      <c r="A114" s="38" t="s">
        <v>116</v>
      </c>
      <c r="B114" s="21"/>
      <c r="C114" s="54" t="s">
        <v>163</v>
      </c>
      <c r="D114" s="89"/>
      <c r="E114" s="88">
        <f>+E97</f>
        <v>0</v>
      </c>
    </row>
    <row r="115" spans="1:5" ht="15.75">
      <c r="A115" s="51" t="s">
        <v>118</v>
      </c>
      <c r="B115" s="21"/>
      <c r="C115" s="54"/>
      <c r="D115" s="89"/>
      <c r="E115" s="92"/>
    </row>
    <row r="116" spans="1:5" ht="15.75">
      <c r="A116" s="38" t="s">
        <v>119</v>
      </c>
      <c r="B116" s="21"/>
      <c r="C116" s="54" t="s">
        <v>167</v>
      </c>
      <c r="D116" s="89"/>
      <c r="E116" s="88">
        <f>+E106*$E$20</f>
        <v>6461557.56343668</v>
      </c>
    </row>
    <row r="117" spans="1:5" ht="15.75">
      <c r="A117" s="38" t="s">
        <v>129</v>
      </c>
      <c r="B117" s="21"/>
      <c r="C117" s="54" t="s">
        <v>168</v>
      </c>
      <c r="D117" s="59"/>
      <c r="E117" s="88">
        <f>+E106*$E$21</f>
        <v>425913.59481455997</v>
      </c>
    </row>
    <row r="118" spans="1:5" ht="15.75">
      <c r="A118" s="38" t="s">
        <v>123</v>
      </c>
      <c r="B118" s="21"/>
      <c r="C118" s="54" t="s">
        <v>169</v>
      </c>
      <c r="D118" s="59"/>
      <c r="E118" s="88">
        <f>+E105*$E$22</f>
        <v>510477.6862</v>
      </c>
    </row>
    <row r="119" spans="1:5" ht="15.75">
      <c r="A119" s="38" t="s">
        <v>124</v>
      </c>
      <c r="B119" s="21"/>
      <c r="C119" s="54" t="s">
        <v>170</v>
      </c>
      <c r="D119" s="59"/>
      <c r="E119" s="88">
        <f>+E105*$E$23</f>
        <v>413219.99809999997</v>
      </c>
    </row>
    <row r="120" spans="1:5" ht="15.75">
      <c r="A120" s="38" t="s">
        <v>176</v>
      </c>
      <c r="B120" s="21"/>
      <c r="C120" s="54"/>
      <c r="D120" s="59" t="s">
        <v>171</v>
      </c>
      <c r="E120" s="88">
        <f>SUM(E114:E119)</f>
        <v>7811168.842551241</v>
      </c>
    </row>
    <row r="121" spans="1:5" ht="15.75">
      <c r="A121" s="38" t="s">
        <v>177</v>
      </c>
      <c r="B121" s="21"/>
      <c r="C121" s="54" t="s">
        <v>186</v>
      </c>
      <c r="D121" s="59" t="s">
        <v>184</v>
      </c>
      <c r="E121" s="88">
        <f>+E120*$E$16</f>
        <v>1015451.9495316613</v>
      </c>
    </row>
    <row r="122" spans="1:5" ht="15.75">
      <c r="A122" s="40" t="s">
        <v>44</v>
      </c>
      <c r="B122" s="16"/>
      <c r="C122" s="54" t="s">
        <v>187</v>
      </c>
      <c r="D122" s="59" t="s">
        <v>172</v>
      </c>
      <c r="E122" s="58">
        <f>+E112+E121</f>
        <v>1015451.9495316613</v>
      </c>
    </row>
    <row r="123" spans="1:5" ht="15.75">
      <c r="A123" s="40"/>
      <c r="B123" s="16"/>
      <c r="C123" s="54"/>
      <c r="D123" s="59"/>
      <c r="E123" s="45"/>
    </row>
    <row r="124" spans="1:5" ht="15.75">
      <c r="A124" s="93" t="s">
        <v>133</v>
      </c>
      <c r="B124" s="16"/>
      <c r="C124" s="54"/>
      <c r="D124" s="59"/>
      <c r="E124" s="45"/>
    </row>
    <row r="125" spans="1:5" ht="15.75">
      <c r="A125" s="40" t="s">
        <v>136</v>
      </c>
      <c r="B125" s="16"/>
      <c r="C125" s="54" t="s">
        <v>189</v>
      </c>
      <c r="D125" s="59" t="s">
        <v>173</v>
      </c>
      <c r="E125" s="58">
        <f>+E122*$E$11</f>
        <v>38018.520990465404</v>
      </c>
    </row>
    <row r="126" spans="1:5" ht="15.75">
      <c r="A126" s="40" t="s">
        <v>141</v>
      </c>
      <c r="B126" s="16"/>
      <c r="C126" s="54" t="s">
        <v>190</v>
      </c>
      <c r="D126" s="59" t="s">
        <v>174</v>
      </c>
      <c r="E126" s="58">
        <f>+E125*$E$9</f>
        <v>10074.908062473332</v>
      </c>
    </row>
    <row r="127" spans="1:5" ht="15.75">
      <c r="A127" s="40" t="s">
        <v>202</v>
      </c>
      <c r="B127" s="16"/>
      <c r="C127" s="54" t="s">
        <v>191</v>
      </c>
      <c r="D127" s="59" t="s">
        <v>175</v>
      </c>
      <c r="E127" s="58">
        <f>+E126/(1-$E$9)</f>
        <v>13707.357908126984</v>
      </c>
    </row>
    <row r="128" spans="1:5" ht="16.5" thickBot="1">
      <c r="A128" s="43"/>
      <c r="B128" s="44"/>
      <c r="C128" s="126"/>
      <c r="D128" s="60"/>
      <c r="E128" s="94"/>
    </row>
    <row r="131" ht="15.75">
      <c r="A131" s="1" t="s">
        <v>81</v>
      </c>
    </row>
    <row r="132" ht="15.75">
      <c r="A132" s="1" t="s">
        <v>82</v>
      </c>
    </row>
    <row r="133" ht="15.75">
      <c r="A133" s="1" t="s">
        <v>83</v>
      </c>
    </row>
    <row r="134" ht="15.75">
      <c r="A134" s="1" t="s">
        <v>101</v>
      </c>
    </row>
    <row r="135" ht="15.75">
      <c r="A135" s="1" t="s">
        <v>226</v>
      </c>
    </row>
    <row r="136" ht="15.75">
      <c r="A136" s="1" t="s">
        <v>227</v>
      </c>
    </row>
    <row r="137" ht="15.75">
      <c r="A137" s="127" t="s">
        <v>228</v>
      </c>
    </row>
  </sheetData>
  <sheetProtection/>
  <mergeCells count="2">
    <mergeCell ref="A1:E1"/>
    <mergeCell ref="G22:K23"/>
  </mergeCells>
  <printOptions gridLines="1" horizontalCentered="1"/>
  <pageMargins left="0.25" right="0.236220472440945" top="0.37" bottom="0.37" header="0.25" footer="0.24"/>
  <pageSetup fitToHeight="0" horizontalDpi="600" verticalDpi="600" orientation="landscape" paperSize="17" scale="60" r:id="rId4"/>
  <headerFooter alignWithMargins="0">
    <oddHeader>&amp;RDRAFT v3</oddHeader>
    <oddFooter>&amp;LHaldimand County Hydro Inc.
Page &amp;P of &amp;N&amp;C&amp;F
&amp;A&amp;RPrepared by: S. Graham
Re: 2014 Cost of Service Rate Application
Updated: March 4, 2014 with Interrogatory Responses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55">
      <selection activeCell="G43" sqref="G43"/>
    </sheetView>
  </sheetViews>
  <sheetFormatPr defaultColWidth="9.140625" defaultRowHeight="12.75"/>
  <cols>
    <col min="1" max="1" width="47.28125" style="0" bestFit="1" customWidth="1"/>
    <col min="2" max="2" width="14.00390625" style="0" bestFit="1" customWidth="1"/>
    <col min="3" max="3" width="18.421875" style="0" customWidth="1"/>
    <col min="4" max="4" width="18.140625" style="0" bestFit="1" customWidth="1"/>
    <col min="5" max="5" width="17.00390625" style="0" customWidth="1"/>
    <col min="6" max="6" width="19.140625" style="0" customWidth="1"/>
    <col min="7" max="7" width="17.57421875" style="0" customWidth="1"/>
    <col min="8" max="8" width="18.7109375" style="0" customWidth="1"/>
  </cols>
  <sheetData>
    <row r="1" ht="18.75">
      <c r="A1" s="81" t="s">
        <v>310</v>
      </c>
    </row>
    <row r="2" ht="15.75">
      <c r="A2" s="27" t="s">
        <v>307</v>
      </c>
    </row>
    <row r="4" spans="1:9" ht="12.75">
      <c r="A4" s="129"/>
      <c r="B4" s="129"/>
      <c r="C4" s="129"/>
      <c r="D4" s="129"/>
      <c r="E4" s="129"/>
      <c r="F4" s="129"/>
      <c r="G4" s="129"/>
      <c r="H4" s="129"/>
      <c r="I4" s="129"/>
    </row>
    <row r="6" spans="1:9" ht="56.25" customHeight="1">
      <c r="A6" s="129"/>
      <c r="B6" s="129"/>
      <c r="C6" s="144" t="s">
        <v>284</v>
      </c>
      <c r="D6" s="144" t="s">
        <v>283</v>
      </c>
      <c r="E6" s="158" t="s">
        <v>285</v>
      </c>
      <c r="F6" s="158" t="s">
        <v>243</v>
      </c>
      <c r="G6" s="129"/>
      <c r="H6" s="129"/>
      <c r="I6" s="129"/>
    </row>
    <row r="7" spans="1:9" ht="12.75">
      <c r="A7" s="129"/>
      <c r="B7" s="129" t="s">
        <v>281</v>
      </c>
      <c r="C7" s="150"/>
      <c r="D7" s="150"/>
      <c r="E7" s="175">
        <f>C7-D7</f>
        <v>0</v>
      </c>
      <c r="F7" s="169"/>
      <c r="G7" s="129"/>
      <c r="H7" s="129"/>
      <c r="I7" s="129"/>
    </row>
    <row r="8" spans="1:9" ht="12.75">
      <c r="A8" s="129"/>
      <c r="B8" s="129" t="s">
        <v>282</v>
      </c>
      <c r="C8" s="150"/>
      <c r="D8" s="150"/>
      <c r="E8" s="175">
        <f>C8-D8</f>
        <v>0</v>
      </c>
      <c r="F8" s="129"/>
      <c r="G8" s="129"/>
      <c r="H8" s="129"/>
      <c r="I8" s="129"/>
    </row>
    <row r="9" spans="1:6" ht="12.75">
      <c r="A9" s="129"/>
      <c r="B9" s="129"/>
      <c r="C9" s="172">
        <f>SUM(C7:C8)</f>
        <v>0</v>
      </c>
      <c r="D9" s="172">
        <f>SUM(D7:D8)</f>
        <v>0</v>
      </c>
      <c r="E9" s="176">
        <f>SUM(E7:E8)</f>
        <v>0</v>
      </c>
      <c r="F9" s="129"/>
    </row>
    <row r="10" spans="2:4" ht="12.75">
      <c r="B10" s="129" t="s">
        <v>281</v>
      </c>
      <c r="C10" s="225" t="s">
        <v>290</v>
      </c>
      <c r="D10" s="178"/>
    </row>
    <row r="11" spans="1:6" ht="12.75">
      <c r="A11" s="129"/>
      <c r="B11" s="129" t="s">
        <v>282</v>
      </c>
      <c r="C11" s="226"/>
      <c r="D11" s="173"/>
      <c r="E11" s="129"/>
      <c r="F11" s="129"/>
    </row>
    <row r="12" spans="1:6" ht="12.75">
      <c r="A12" s="129"/>
      <c r="B12" s="129"/>
      <c r="C12" s="180"/>
      <c r="D12" s="174">
        <f>SUM(D10:D11)</f>
        <v>0</v>
      </c>
      <c r="E12" s="129"/>
      <c r="F12" s="129"/>
    </row>
    <row r="13" spans="1:6" ht="13.5" thickBot="1">
      <c r="A13" s="129"/>
      <c r="B13" s="129"/>
      <c r="C13" s="179"/>
      <c r="D13" s="173"/>
      <c r="E13" s="129"/>
      <c r="F13" s="129"/>
    </row>
    <row r="14" spans="1:6" ht="13.5" thickBot="1">
      <c r="A14" s="130">
        <v>1</v>
      </c>
      <c r="B14" s="131">
        <v>2</v>
      </c>
      <c r="C14" s="131">
        <v>3</v>
      </c>
      <c r="D14" s="131">
        <v>4</v>
      </c>
      <c r="E14" s="131">
        <v>5</v>
      </c>
      <c r="F14" s="131">
        <v>6</v>
      </c>
    </row>
    <row r="15" spans="1:6" ht="66" customHeight="1" thickBot="1">
      <c r="A15" s="132" t="s">
        <v>3</v>
      </c>
      <c r="B15" s="133" t="s">
        <v>19</v>
      </c>
      <c r="C15" s="133" t="s">
        <v>244</v>
      </c>
      <c r="D15" s="133" t="s">
        <v>6</v>
      </c>
      <c r="E15" s="133" t="s">
        <v>292</v>
      </c>
      <c r="F15" s="145" t="s">
        <v>8</v>
      </c>
    </row>
    <row r="16" spans="1:6" ht="13.5" thickBot="1">
      <c r="A16" s="132" t="s">
        <v>245</v>
      </c>
      <c r="B16" s="141"/>
      <c r="C16" s="141"/>
      <c r="D16" s="141"/>
      <c r="E16" s="141"/>
      <c r="F16" s="141"/>
    </row>
    <row r="17" spans="1:6" ht="13.5" thickBot="1">
      <c r="A17" s="132" t="s">
        <v>9</v>
      </c>
      <c r="B17" s="141"/>
      <c r="C17" s="141"/>
      <c r="D17" s="141"/>
      <c r="E17" s="141"/>
      <c r="F17" s="141"/>
    </row>
    <row r="18" spans="1:6" ht="13.5" thickBot="1">
      <c r="A18" s="132" t="s">
        <v>10</v>
      </c>
      <c r="B18" s="136"/>
      <c r="C18" s="136"/>
      <c r="D18" s="136"/>
      <c r="E18" s="136"/>
      <c r="F18" s="137">
        <f>C18-D18</f>
        <v>0</v>
      </c>
    </row>
    <row r="19" spans="1:6" ht="13.5" thickBot="1">
      <c r="A19" s="227"/>
      <c r="B19" s="227"/>
      <c r="C19" s="227"/>
      <c r="D19" s="227"/>
      <c r="E19" s="227"/>
      <c r="F19" s="227"/>
    </row>
    <row r="20" spans="1:6" ht="13.5" thickBot="1">
      <c r="A20" s="228"/>
      <c r="B20" s="131">
        <v>7</v>
      </c>
      <c r="C20" s="131">
        <v>8</v>
      </c>
      <c r="D20" s="131">
        <v>9</v>
      </c>
      <c r="E20" s="131">
        <v>10</v>
      </c>
      <c r="F20" s="230">
        <v>11</v>
      </c>
    </row>
    <row r="21" spans="1:6" ht="13.5" thickBot="1">
      <c r="A21" s="228"/>
      <c r="B21" s="232" t="s">
        <v>11</v>
      </c>
      <c r="C21" s="233"/>
      <c r="D21" s="232" t="s">
        <v>11</v>
      </c>
      <c r="E21" s="233"/>
      <c r="F21" s="231"/>
    </row>
    <row r="22" spans="1:6" ht="13.5" thickBot="1">
      <c r="A22" s="229"/>
      <c r="B22" s="135" t="s">
        <v>246</v>
      </c>
      <c r="C22" s="135" t="s">
        <v>246</v>
      </c>
      <c r="D22" s="135" t="s">
        <v>12</v>
      </c>
      <c r="E22" s="135" t="s">
        <v>12</v>
      </c>
      <c r="F22" s="135" t="s">
        <v>0</v>
      </c>
    </row>
    <row r="23" spans="1:6" ht="55.5" customHeight="1" thickBot="1">
      <c r="A23" s="132" t="s">
        <v>3</v>
      </c>
      <c r="B23" s="133" t="s">
        <v>247</v>
      </c>
      <c r="C23" s="133" t="s">
        <v>248</v>
      </c>
      <c r="D23" s="133" t="s">
        <v>249</v>
      </c>
      <c r="E23" s="133" t="s">
        <v>250</v>
      </c>
      <c r="F23" s="133" t="s">
        <v>251</v>
      </c>
    </row>
    <row r="24" spans="1:6" ht="13.5" thickBot="1">
      <c r="A24" s="132" t="s">
        <v>245</v>
      </c>
      <c r="B24" s="141"/>
      <c r="C24" s="141"/>
      <c r="D24" s="141"/>
      <c r="E24" s="141"/>
      <c r="F24" s="141"/>
    </row>
    <row r="25" spans="1:6" ht="13.5" thickBot="1">
      <c r="A25" s="132" t="s">
        <v>9</v>
      </c>
      <c r="B25" s="141"/>
      <c r="C25" s="141"/>
      <c r="D25" s="141"/>
      <c r="E25" s="141"/>
      <c r="F25" s="141"/>
    </row>
    <row r="26" spans="1:7" ht="13.5" thickBot="1">
      <c r="A26" s="139" t="s">
        <v>10</v>
      </c>
      <c r="B26" s="143"/>
      <c r="C26" s="143"/>
      <c r="D26" s="186">
        <f>'Inputs HONI (PMU''s Only)'!E104</f>
        <v>244429.6</v>
      </c>
      <c r="E26" s="187">
        <f>'Inputs HONI (PMU''s Only)'!E105</f>
        <v>172657</v>
      </c>
      <c r="F26" s="191">
        <v>0.747055871</v>
      </c>
      <c r="G26" s="197" t="s">
        <v>301</v>
      </c>
    </row>
    <row r="27" spans="1:10" ht="13.5" thickBot="1">
      <c r="A27" s="140"/>
      <c r="B27" s="141"/>
      <c r="C27" s="141"/>
      <c r="D27" s="141"/>
      <c r="E27" s="141"/>
      <c r="F27" s="141"/>
      <c r="G27" s="189" t="s">
        <v>302</v>
      </c>
      <c r="H27" s="129"/>
      <c r="I27" s="129"/>
      <c r="J27" s="129"/>
    </row>
    <row r="28" spans="1:10" ht="13.5" thickBot="1">
      <c r="A28" s="140"/>
      <c r="B28" s="141"/>
      <c r="C28" s="141"/>
      <c r="D28" s="141"/>
      <c r="E28" s="181"/>
      <c r="F28" s="141"/>
      <c r="G28" s="129"/>
      <c r="H28" s="129"/>
      <c r="I28" s="129"/>
      <c r="J28" s="129"/>
    </row>
    <row r="29" spans="1:10" ht="12.75">
      <c r="A29" s="222"/>
      <c r="B29" s="222"/>
      <c r="C29" s="222"/>
      <c r="D29" s="222"/>
      <c r="E29" s="222"/>
      <c r="F29" s="222"/>
      <c r="G29" s="142"/>
      <c r="H29" s="129"/>
      <c r="I29" s="129"/>
      <c r="J29" s="129"/>
    </row>
    <row r="30" spans="1:10" ht="15">
      <c r="A30" s="223"/>
      <c r="B30" s="223"/>
      <c r="C30" s="223"/>
      <c r="D30" s="223"/>
      <c r="E30" s="223"/>
      <c r="F30" s="224"/>
      <c r="G30" s="142"/>
      <c r="H30" s="129"/>
      <c r="I30" s="129"/>
      <c r="J30" s="129"/>
    </row>
    <row r="32" spans="1:8" ht="12.75">
      <c r="A32" s="159" t="s">
        <v>252</v>
      </c>
      <c r="B32" s="129"/>
      <c r="C32" s="129"/>
      <c r="D32" s="129"/>
      <c r="E32" s="129"/>
      <c r="F32" s="129"/>
      <c r="G32" s="129"/>
      <c r="H32" s="129"/>
    </row>
    <row r="33" spans="1:10" ht="13.5" thickBo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3.5" thickBot="1">
      <c r="A34" s="151"/>
      <c r="B34" s="149" t="s">
        <v>15</v>
      </c>
      <c r="C34" s="149" t="s">
        <v>15</v>
      </c>
      <c r="D34" s="149" t="s">
        <v>15</v>
      </c>
      <c r="E34" s="149" t="s">
        <v>15</v>
      </c>
      <c r="F34" s="149" t="s">
        <v>15</v>
      </c>
      <c r="G34" s="149" t="s">
        <v>15</v>
      </c>
      <c r="H34" s="149" t="s">
        <v>15</v>
      </c>
      <c r="I34" s="129"/>
      <c r="J34" s="129"/>
    </row>
    <row r="35" spans="1:10" ht="72.75" thickBot="1">
      <c r="A35" s="132" t="s">
        <v>3</v>
      </c>
      <c r="B35" s="145" t="s">
        <v>253</v>
      </c>
      <c r="C35" s="145" t="s">
        <v>254</v>
      </c>
      <c r="D35" s="133" t="s">
        <v>255</v>
      </c>
      <c r="E35" s="145" t="s">
        <v>256</v>
      </c>
      <c r="F35" s="133" t="s">
        <v>17</v>
      </c>
      <c r="G35" s="133" t="s">
        <v>297</v>
      </c>
      <c r="H35" s="133" t="s">
        <v>298</v>
      </c>
      <c r="I35" s="129"/>
      <c r="J35" s="129"/>
    </row>
    <row r="36" spans="1:10" ht="13.5" thickBot="1">
      <c r="A36" s="132" t="s">
        <v>245</v>
      </c>
      <c r="B36" s="181"/>
      <c r="C36" s="181"/>
      <c r="D36" s="181"/>
      <c r="E36" s="181"/>
      <c r="F36" s="181"/>
      <c r="G36" s="181"/>
      <c r="H36" s="181"/>
      <c r="I36" s="146"/>
      <c r="J36" s="146"/>
    </row>
    <row r="37" spans="1:10" ht="13.5" thickBot="1">
      <c r="A37" s="132" t="s">
        <v>9</v>
      </c>
      <c r="B37" s="134"/>
      <c r="C37" s="134"/>
      <c r="D37" s="134"/>
      <c r="E37" s="136"/>
      <c r="F37" s="134"/>
      <c r="G37" s="134"/>
      <c r="H37" s="134"/>
      <c r="I37" s="147"/>
      <c r="J37" s="148"/>
    </row>
    <row r="38" spans="1:10" ht="13.5" thickBot="1">
      <c r="A38" s="132" t="s">
        <v>10</v>
      </c>
      <c r="B38" s="138" t="e">
        <f>(C7*$F$7)*($C$26/$B$26)*$F$26</f>
        <v>#DIV/0!</v>
      </c>
      <c r="C38" s="138" t="e">
        <f>(C8*$F$7)*($C$26/$B$26)*$F$26</f>
        <v>#DIV/0!</v>
      </c>
      <c r="D38" s="138" t="e">
        <f>(D9*$F$7)*($C$26/$B$26)*$F$26</f>
        <v>#DIV/0!</v>
      </c>
      <c r="E38" s="138" t="e">
        <f>(B38+C38)-D38</f>
        <v>#DIV/0!</v>
      </c>
      <c r="F38" s="138" t="e">
        <f>E18*($C$26/$B$26)*$F$26</f>
        <v>#DIV/0!</v>
      </c>
      <c r="G38" s="138"/>
      <c r="H38" s="188">
        <f>G38+G81+G83</f>
        <v>236423.79680000004</v>
      </c>
      <c r="I38" s="146"/>
      <c r="J38" s="146"/>
    </row>
    <row r="39" spans="1:10" ht="13.5" thickBot="1">
      <c r="A39" s="170" t="s">
        <v>299</v>
      </c>
      <c r="B39" s="138" t="e">
        <f>(D7*$F$7)*($C$26/$B$26)*$F$26</f>
        <v>#DIV/0!</v>
      </c>
      <c r="C39" s="138" t="e">
        <f>(D8*$F$7)*($C$26/$B$26)*$F$26</f>
        <v>#DIV/0!</v>
      </c>
      <c r="D39" s="129"/>
      <c r="E39" s="129"/>
      <c r="F39" s="129"/>
      <c r="G39" s="129"/>
      <c r="H39" s="146"/>
      <c r="I39" s="146"/>
      <c r="J39" s="146"/>
    </row>
    <row r="40" spans="1:10" ht="13.5" thickBot="1">
      <c r="A40" s="170" t="s">
        <v>300</v>
      </c>
      <c r="B40" s="138" t="e">
        <f>(D10*F7)*($C$26/$B$26)*$F$26</f>
        <v>#DIV/0!</v>
      </c>
      <c r="C40" s="138" t="e">
        <f>(D11*F7)*($C$26/$B$26)*$F$26</f>
        <v>#DIV/0!</v>
      </c>
      <c r="D40" s="129"/>
      <c r="E40" s="129"/>
      <c r="H40" s="146"/>
      <c r="I40" s="129"/>
      <c r="J40" s="129"/>
    </row>
    <row r="41" spans="6:10" ht="12.75">
      <c r="F41" s="153" t="s">
        <v>257</v>
      </c>
      <c r="G41" s="156">
        <f>B89</f>
        <v>2226420</v>
      </c>
      <c r="I41" s="129"/>
      <c r="J41" s="129"/>
    </row>
    <row r="42" spans="1:8" ht="24.75" customHeight="1">
      <c r="A42" s="129"/>
      <c r="B42" s="129"/>
      <c r="C42" s="129"/>
      <c r="D42" s="129"/>
      <c r="E42" s="129"/>
      <c r="F42" s="155" t="s">
        <v>289</v>
      </c>
      <c r="G42" s="129"/>
      <c r="H42" s="146"/>
    </row>
    <row r="43" spans="1:8" ht="12.75">
      <c r="A43" s="129"/>
      <c r="B43" s="129"/>
      <c r="C43" s="129"/>
      <c r="D43" s="129"/>
      <c r="E43" s="129"/>
      <c r="F43" s="153" t="s">
        <v>258</v>
      </c>
      <c r="G43" s="156">
        <v>45696026</v>
      </c>
      <c r="H43" s="146"/>
    </row>
    <row r="44" spans="1:8" ht="26.25" customHeight="1">
      <c r="A44" s="129"/>
      <c r="B44" s="129"/>
      <c r="C44" s="129"/>
      <c r="D44" s="129"/>
      <c r="E44" s="129"/>
      <c r="F44" s="155" t="s">
        <v>288</v>
      </c>
      <c r="H44" s="146"/>
    </row>
    <row r="45" spans="1:8" ht="12.75">
      <c r="A45" s="129"/>
      <c r="B45" s="129"/>
      <c r="C45" s="129"/>
      <c r="D45" s="129"/>
      <c r="E45" s="129"/>
      <c r="F45" s="129"/>
      <c r="G45" s="129"/>
      <c r="H45" s="146"/>
    </row>
    <row r="46" spans="1:8" ht="39.75" customHeight="1">
      <c r="A46" s="129"/>
      <c r="B46" s="158" t="s">
        <v>312</v>
      </c>
      <c r="C46" s="165" t="s">
        <v>293</v>
      </c>
      <c r="D46" s="129"/>
      <c r="E46" s="129"/>
      <c r="F46" s="154" t="s">
        <v>259</v>
      </c>
      <c r="G46" s="160">
        <f>G41/G43</f>
        <v>0.04872239874863517</v>
      </c>
      <c r="H46" s="146"/>
    </row>
    <row r="47" spans="1:8" ht="12.75">
      <c r="A47" s="129"/>
      <c r="B47" s="129"/>
      <c r="C47" s="129"/>
      <c r="D47" s="129"/>
      <c r="E47" s="129"/>
      <c r="F47" s="129"/>
      <c r="G47" s="129"/>
      <c r="H47" s="146"/>
    </row>
    <row r="48" spans="1:8" ht="12.75">
      <c r="A48" s="129"/>
      <c r="B48" s="129"/>
      <c r="C48" s="129"/>
      <c r="D48" s="129"/>
      <c r="E48" s="129"/>
      <c r="F48" s="129"/>
      <c r="G48" s="129"/>
      <c r="H48" s="146"/>
    </row>
    <row r="49" spans="1:8" ht="12.75">
      <c r="A49" s="129"/>
      <c r="B49" s="129"/>
      <c r="C49" s="129"/>
      <c r="D49" s="129"/>
      <c r="E49" s="129"/>
      <c r="F49" s="129"/>
      <c r="G49" s="129"/>
      <c r="H49" s="146"/>
    </row>
    <row r="50" spans="1:8" ht="12.75">
      <c r="A50" s="129" t="s">
        <v>315</v>
      </c>
      <c r="B50" s="129"/>
      <c r="C50" s="129"/>
      <c r="D50" s="129"/>
      <c r="E50" s="129"/>
      <c r="F50" s="129"/>
      <c r="G50" s="129"/>
      <c r="H50" s="146"/>
    </row>
    <row r="51" spans="1:8" ht="12.75">
      <c r="A51" s="129" t="s">
        <v>260</v>
      </c>
      <c r="B51" s="152">
        <v>140772</v>
      </c>
      <c r="C51" s="152">
        <f aca="true" t="shared" si="0" ref="C51:C56">B51*$F$7</f>
        <v>0</v>
      </c>
      <c r="D51" s="129"/>
      <c r="E51" s="129"/>
      <c r="F51" s="129"/>
      <c r="G51" s="152"/>
      <c r="H51" s="146"/>
    </row>
    <row r="52" spans="1:8" ht="12.75">
      <c r="A52" s="129" t="s">
        <v>278</v>
      </c>
      <c r="B52" s="152">
        <v>0</v>
      </c>
      <c r="C52" s="152">
        <f t="shared" si="0"/>
        <v>0</v>
      </c>
      <c r="D52" s="129"/>
      <c r="E52" s="129"/>
      <c r="F52" s="129"/>
      <c r="G52" s="152"/>
      <c r="H52" s="146"/>
    </row>
    <row r="53" spans="1:8" ht="12.75">
      <c r="A53" s="129" t="s">
        <v>279</v>
      </c>
      <c r="B53" s="152">
        <v>0</v>
      </c>
      <c r="C53" s="152">
        <f t="shared" si="0"/>
        <v>0</v>
      </c>
      <c r="D53" s="129"/>
      <c r="E53" s="129"/>
      <c r="F53" s="129"/>
      <c r="G53" s="152"/>
      <c r="H53" s="146"/>
    </row>
    <row r="54" spans="1:8" ht="12.75">
      <c r="A54" s="129" t="s">
        <v>261</v>
      </c>
      <c r="B54" s="152">
        <v>488402</v>
      </c>
      <c r="C54" s="152">
        <f t="shared" si="0"/>
        <v>0</v>
      </c>
      <c r="D54" s="129"/>
      <c r="E54" s="129"/>
      <c r="F54" s="129"/>
      <c r="G54" s="152"/>
      <c r="H54" s="129"/>
    </row>
    <row r="55" spans="1:8" ht="12.75">
      <c r="A55" s="129" t="s">
        <v>262</v>
      </c>
      <c r="B55" s="152">
        <v>712728</v>
      </c>
      <c r="C55" s="152">
        <f t="shared" si="0"/>
        <v>0</v>
      </c>
      <c r="D55" s="129"/>
      <c r="E55" s="129"/>
      <c r="F55" s="129"/>
      <c r="G55" s="152"/>
      <c r="H55" s="129"/>
    </row>
    <row r="56" spans="1:8" ht="12.75">
      <c r="A56" s="129" t="s">
        <v>263</v>
      </c>
      <c r="B56" s="152">
        <v>385405</v>
      </c>
      <c r="C56" s="152">
        <f t="shared" si="0"/>
        <v>0</v>
      </c>
      <c r="D56" s="129"/>
      <c r="E56" s="129"/>
      <c r="F56" s="129"/>
      <c r="G56" s="152"/>
      <c r="H56" s="129"/>
    </row>
    <row r="57" spans="1:8" ht="12.75">
      <c r="A57" s="129"/>
      <c r="B57" s="161">
        <f>SUM(B51:B56)</f>
        <v>1727307</v>
      </c>
      <c r="C57" s="162">
        <f>SUM(C51:C56)</f>
        <v>0</v>
      </c>
      <c r="D57" s="177"/>
      <c r="E57" s="129"/>
      <c r="F57" s="129"/>
      <c r="G57" s="162">
        <f>SUM(G51:G56)</f>
        <v>0</v>
      </c>
      <c r="H57" s="129"/>
    </row>
    <row r="58" spans="1:8" ht="12.75">
      <c r="A58" s="129"/>
      <c r="B58" s="152"/>
      <c r="C58" s="129"/>
      <c r="D58" s="129"/>
      <c r="E58" s="129"/>
      <c r="F58" s="129"/>
      <c r="G58" s="129"/>
      <c r="H58" s="129"/>
    </row>
    <row r="59" spans="1:7" ht="12.75">
      <c r="A59" s="129" t="s">
        <v>316</v>
      </c>
      <c r="B59" s="157">
        <f>ROUND(B57/((1359148+2802733+1373423+28836+18000+30000)-B64),2)</f>
        <v>0.4</v>
      </c>
      <c r="C59" s="129"/>
      <c r="D59" s="129"/>
      <c r="E59" s="129"/>
      <c r="F59" s="129"/>
      <c r="G59" s="129"/>
    </row>
    <row r="60" spans="1:7" ht="12.75">
      <c r="A60" s="129"/>
      <c r="B60" s="152"/>
      <c r="C60" s="129"/>
      <c r="D60" s="129"/>
      <c r="E60" s="129"/>
      <c r="F60" s="129"/>
      <c r="G60" s="129"/>
    </row>
    <row r="61" spans="1:7" ht="12.75">
      <c r="A61" s="129" t="s">
        <v>264</v>
      </c>
      <c r="B61" s="152">
        <v>670136</v>
      </c>
      <c r="C61" s="129"/>
      <c r="D61" s="129"/>
      <c r="E61" s="129"/>
      <c r="F61" s="129"/>
      <c r="G61" s="129"/>
    </row>
    <row r="62" spans="1:7" ht="12.75">
      <c r="A62" s="129" t="s">
        <v>280</v>
      </c>
      <c r="B62" s="152">
        <v>447662</v>
      </c>
      <c r="C62" s="129"/>
      <c r="D62" s="129"/>
      <c r="E62" s="129"/>
      <c r="F62" s="129"/>
      <c r="G62" s="129"/>
    </row>
    <row r="63" spans="1:7" ht="12.75">
      <c r="A63" s="129" t="s">
        <v>265</v>
      </c>
      <c r="B63" s="152">
        <v>145626</v>
      </c>
      <c r="C63" s="129"/>
      <c r="D63" s="129"/>
      <c r="E63" s="129"/>
      <c r="F63" s="129"/>
      <c r="G63" s="129"/>
    </row>
    <row r="64" spans="1:7" ht="12.75">
      <c r="A64" s="129"/>
      <c r="B64" s="161">
        <f>SUM(B61:B63)</f>
        <v>1263424</v>
      </c>
      <c r="C64" s="129"/>
      <c r="D64" s="129"/>
      <c r="E64" s="129"/>
      <c r="F64" s="129"/>
      <c r="G64" s="129"/>
    </row>
    <row r="65" spans="1:7" ht="12.75">
      <c r="A65" s="129"/>
      <c r="B65" s="152"/>
      <c r="C65" s="129"/>
      <c r="D65" s="129"/>
      <c r="E65" s="129"/>
      <c r="F65" s="129"/>
      <c r="G65" s="129"/>
    </row>
    <row r="66" spans="1:7" ht="12.75">
      <c r="A66" s="129" t="s">
        <v>286</v>
      </c>
      <c r="B66" s="152"/>
      <c r="C66" s="129"/>
      <c r="D66" s="129"/>
      <c r="E66" s="129"/>
      <c r="F66" s="129"/>
      <c r="G66" s="129"/>
    </row>
    <row r="67" spans="1:7" ht="12.75">
      <c r="A67" s="129" t="s">
        <v>264</v>
      </c>
      <c r="B67" s="152">
        <f>B61*$B$59</f>
        <v>268054.4</v>
      </c>
      <c r="C67" s="152">
        <f>B67*$F$7</f>
        <v>0</v>
      </c>
      <c r="D67" s="129"/>
      <c r="E67" s="129"/>
      <c r="F67" s="129"/>
      <c r="G67" s="152"/>
    </row>
    <row r="68" spans="1:7" ht="12.75">
      <c r="A68" s="129" t="s">
        <v>280</v>
      </c>
      <c r="B68" s="152">
        <f>B62*$B$59</f>
        <v>179064.80000000002</v>
      </c>
      <c r="C68" s="152">
        <f>B68*$F$7</f>
        <v>0</v>
      </c>
      <c r="D68" s="129"/>
      <c r="E68" s="129"/>
      <c r="F68" s="129"/>
      <c r="G68" s="152"/>
    </row>
    <row r="69" spans="1:7" ht="12.75">
      <c r="A69" s="129" t="s">
        <v>265</v>
      </c>
      <c r="B69" s="152">
        <f>B63*$B$59</f>
        <v>58250.4</v>
      </c>
      <c r="C69" s="152">
        <f>B69*$F$7</f>
        <v>0</v>
      </c>
      <c r="D69" s="129"/>
      <c r="E69" s="129"/>
      <c r="F69" s="129"/>
      <c r="G69" s="152"/>
    </row>
    <row r="70" spans="1:7" ht="12.75">
      <c r="A70" s="129"/>
      <c r="B70" s="161">
        <f>SUM(B67:B69)</f>
        <v>505369.6000000001</v>
      </c>
      <c r="C70" s="162">
        <f>SUM(C67:C69)</f>
        <v>0</v>
      </c>
      <c r="D70" s="129"/>
      <c r="E70" s="129"/>
      <c r="F70" s="129"/>
      <c r="G70" s="162">
        <f>SUM(G67:G69)</f>
        <v>0</v>
      </c>
    </row>
    <row r="71" spans="1:7" ht="12.75">
      <c r="A71" s="129"/>
      <c r="B71" s="152"/>
      <c r="C71" s="129"/>
      <c r="D71" s="129"/>
      <c r="E71" s="129"/>
      <c r="F71" s="129"/>
      <c r="G71" s="129"/>
    </row>
    <row r="72" spans="1:7" ht="27.75" customHeight="1" thickBot="1">
      <c r="A72" s="158" t="s">
        <v>317</v>
      </c>
      <c r="B72" s="164">
        <f>B70+B57</f>
        <v>2232676.6</v>
      </c>
      <c r="C72" s="164">
        <f>C70+C57</f>
        <v>0</v>
      </c>
      <c r="D72" s="129"/>
      <c r="E72" s="129"/>
      <c r="F72" s="129" t="s">
        <v>291</v>
      </c>
      <c r="G72" s="152">
        <f>G70+G57</f>
        <v>0</v>
      </c>
    </row>
    <row r="73" spans="1:7" ht="12.75">
      <c r="A73" s="129"/>
      <c r="B73" s="152"/>
      <c r="C73" s="129"/>
      <c r="D73" s="129"/>
      <c r="E73" s="129"/>
      <c r="F73" s="129"/>
      <c r="G73" s="129"/>
    </row>
    <row r="74" spans="1:7" ht="12.75">
      <c r="A74" s="129"/>
      <c r="B74" s="129"/>
      <c r="C74" s="129"/>
      <c r="D74" s="129"/>
      <c r="E74" s="129"/>
      <c r="F74" s="129" t="s">
        <v>257</v>
      </c>
      <c r="G74" s="152">
        <v>0</v>
      </c>
    </row>
    <row r="76" spans="1:7" ht="13.5" thickBot="1">
      <c r="A76" s="129"/>
      <c r="B76" s="129"/>
      <c r="C76" s="129"/>
      <c r="D76" s="129"/>
      <c r="E76" s="129"/>
      <c r="F76" s="129"/>
      <c r="G76" s="163">
        <f>SUM(G72:G74)</f>
        <v>0</v>
      </c>
    </row>
    <row r="77" spans="1:6" ht="12.75">
      <c r="A77" s="129" t="s">
        <v>318</v>
      </c>
      <c r="B77" s="129"/>
      <c r="C77" s="129"/>
      <c r="D77" s="129"/>
      <c r="E77" s="129"/>
      <c r="F77" s="129"/>
    </row>
    <row r="78" spans="1:6" ht="51">
      <c r="A78" s="129"/>
      <c r="B78" s="129" t="s">
        <v>266</v>
      </c>
      <c r="C78" s="129" t="s">
        <v>267</v>
      </c>
      <c r="D78" s="158" t="s">
        <v>268</v>
      </c>
      <c r="E78" s="129"/>
      <c r="F78" s="158" t="s">
        <v>294</v>
      </c>
    </row>
    <row r="79" spans="1:7" ht="12.75">
      <c r="A79" s="129" t="s">
        <v>323</v>
      </c>
      <c r="B79" s="152">
        <v>83421</v>
      </c>
      <c r="C79" s="166">
        <f>ROUND(B79/$B$89,2)</f>
        <v>0.04</v>
      </c>
      <c r="D79" s="152">
        <f>ROUND(C79*$G$74,2)</f>
        <v>0</v>
      </c>
      <c r="E79" s="129"/>
      <c r="F79" s="129" t="s">
        <v>280</v>
      </c>
      <c r="G79" s="201">
        <f>172657*(0.682+0.275+0.01+0.023-0.001)</f>
        <v>170757.77300000002</v>
      </c>
    </row>
    <row r="80" spans="1:7" ht="12.75">
      <c r="A80" s="129" t="s">
        <v>269</v>
      </c>
      <c r="B80" s="152">
        <v>722027</v>
      </c>
      <c r="C80" s="166">
        <f>ROUND(B80/$B$89,2)+0.01</f>
        <v>0.33</v>
      </c>
      <c r="D80" s="152">
        <f>ROUND(C80*$G$74,2)</f>
        <v>0</v>
      </c>
      <c r="E80" s="129"/>
      <c r="F80" s="129" t="s">
        <v>280</v>
      </c>
      <c r="G80" s="201">
        <f>(19834.5+6234.7+6828.2)*1.987</f>
        <v>65367.1338</v>
      </c>
    </row>
    <row r="81" spans="1:7" ht="13.5" thickBot="1">
      <c r="A81" s="129" t="s">
        <v>270</v>
      </c>
      <c r="B81" s="152">
        <v>635672</v>
      </c>
      <c r="C81" s="166">
        <f aca="true" t="shared" si="1" ref="C81:C88">ROUND(B81/$B$89,2)</f>
        <v>0.29</v>
      </c>
      <c r="D81" s="152">
        <f aca="true" t="shared" si="2" ref="D81:D88">ROUND(C81*$G$74,2)</f>
        <v>0</v>
      </c>
      <c r="E81" s="129"/>
      <c r="F81" s="129"/>
      <c r="G81" s="202">
        <f>SUM(G79:G80)</f>
        <v>236124.90680000003</v>
      </c>
    </row>
    <row r="82" spans="1:7" ht="12.75">
      <c r="A82" s="129" t="s">
        <v>271</v>
      </c>
      <c r="B82" s="152">
        <v>137853</v>
      </c>
      <c r="C82" s="166">
        <f t="shared" si="1"/>
        <v>0.06</v>
      </c>
      <c r="D82" s="152">
        <f t="shared" si="2"/>
        <v>0</v>
      </c>
      <c r="E82" s="129"/>
      <c r="F82" s="129"/>
      <c r="G82" s="203"/>
    </row>
    <row r="83" spans="1:7" ht="13.5" thickBot="1">
      <c r="A83" s="129" t="s">
        <v>272</v>
      </c>
      <c r="B83" s="152">
        <v>454250</v>
      </c>
      <c r="C83" s="166">
        <f t="shared" si="1"/>
        <v>0.2</v>
      </c>
      <c r="D83" s="152">
        <f t="shared" si="2"/>
        <v>0</v>
      </c>
      <c r="E83" s="129"/>
      <c r="F83" s="129" t="s">
        <v>296</v>
      </c>
      <c r="G83" s="204">
        <f>294.97+3.92</f>
        <v>298.89000000000004</v>
      </c>
    </row>
    <row r="84" spans="1:5" ht="12.75">
      <c r="A84" s="129" t="s">
        <v>273</v>
      </c>
      <c r="B84" s="152">
        <v>23342</v>
      </c>
      <c r="C84" s="166">
        <f t="shared" si="1"/>
        <v>0.01</v>
      </c>
      <c r="D84" s="152">
        <f t="shared" si="2"/>
        <v>0</v>
      </c>
      <c r="E84" s="129"/>
    </row>
    <row r="85" spans="1:6" ht="12.75">
      <c r="A85" s="129" t="s">
        <v>274</v>
      </c>
      <c r="B85" s="152">
        <v>120245</v>
      </c>
      <c r="C85" s="166">
        <f t="shared" si="1"/>
        <v>0.05</v>
      </c>
      <c r="D85" s="152">
        <f t="shared" si="2"/>
        <v>0</v>
      </c>
      <c r="E85" s="129"/>
      <c r="F85" s="129"/>
    </row>
    <row r="86" spans="1:6" ht="12.75">
      <c r="A86" s="129" t="s">
        <v>275</v>
      </c>
      <c r="B86" s="152">
        <v>1500</v>
      </c>
      <c r="C86" s="166">
        <f t="shared" si="1"/>
        <v>0</v>
      </c>
      <c r="D86" s="152">
        <f t="shared" si="2"/>
        <v>0</v>
      </c>
      <c r="E86" s="129"/>
      <c r="F86" s="129"/>
    </row>
    <row r="87" spans="1:6" ht="12.75">
      <c r="A87" s="129" t="s">
        <v>276</v>
      </c>
      <c r="B87" s="152">
        <v>48110</v>
      </c>
      <c r="C87" s="166">
        <f t="shared" si="1"/>
        <v>0.02</v>
      </c>
      <c r="D87" s="152">
        <f t="shared" si="2"/>
        <v>0</v>
      </c>
      <c r="E87" s="129"/>
      <c r="F87" s="129"/>
    </row>
    <row r="88" spans="1:6" ht="12.75">
      <c r="A88" s="129" t="s">
        <v>287</v>
      </c>
      <c r="B88" s="152"/>
      <c r="C88" s="166">
        <f t="shared" si="1"/>
        <v>0</v>
      </c>
      <c r="D88" s="152">
        <f t="shared" si="2"/>
        <v>0</v>
      </c>
      <c r="E88" s="234" t="s">
        <v>277</v>
      </c>
      <c r="F88" s="234"/>
    </row>
    <row r="89" spans="1:6" ht="12.75">
      <c r="A89" s="129"/>
      <c r="B89" s="161">
        <f>SUM(B79:B88)</f>
        <v>2226420</v>
      </c>
      <c r="C89" s="167">
        <f>SUM(C79:C88)</f>
        <v>1</v>
      </c>
      <c r="D89" s="162">
        <f>SUM(D79:D88)</f>
        <v>0</v>
      </c>
      <c r="E89" s="235"/>
      <c r="F89" s="235"/>
    </row>
  </sheetData>
  <sheetProtection/>
  <mergeCells count="9">
    <mergeCell ref="A29:F29"/>
    <mergeCell ref="A30:F30"/>
    <mergeCell ref="E88:F89"/>
    <mergeCell ref="C10:C11"/>
    <mergeCell ref="A19:F19"/>
    <mergeCell ref="A20:A22"/>
    <mergeCell ref="F20:F21"/>
    <mergeCell ref="B21:C21"/>
    <mergeCell ref="D21:E21"/>
  </mergeCells>
  <printOptions gridLines="1" horizontalCentered="1"/>
  <pageMargins left="0.25" right="0.236220472440945" top="0.37" bottom="0.37" header="0.25" footer="0.24"/>
  <pageSetup fitToHeight="0" horizontalDpi="600" verticalDpi="600" orientation="landscape" paperSize="17" scale="80" r:id="rId3"/>
  <headerFooter alignWithMargins="0">
    <oddHeader>&amp;RDRAFT v3</oddHeader>
    <oddFooter>&amp;LHaldimand County Hydro Inc.
Page &amp;P of &amp;N&amp;C&amp;F
&amp;A&amp;RPrepared by: S. Graham
Re: 2014 Cost of Service Rate Application
Updated: March 4, 2014 with Interrogatory Responses</oddFooter>
  </headerFooter>
  <rowBreaks count="1" manualBreakCount="1">
    <brk id="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7"/>
  <sheetViews>
    <sheetView zoomScale="77" zoomScaleNormal="77" zoomScalePageLayoutView="0" workbookViewId="0" topLeftCell="A1">
      <selection activeCell="E93" sqref="E93"/>
    </sheetView>
  </sheetViews>
  <sheetFormatPr defaultColWidth="9.140625" defaultRowHeight="12.75"/>
  <cols>
    <col min="1" max="1" width="88.421875" style="1" customWidth="1"/>
    <col min="2" max="2" width="6.8515625" style="1" customWidth="1"/>
    <col min="3" max="3" width="55.28125" style="1" customWidth="1"/>
    <col min="4" max="4" width="9.140625" style="22" customWidth="1"/>
    <col min="5" max="5" width="18.00390625" style="24" customWidth="1"/>
    <col min="6" max="16384" width="9.140625" style="1" customWidth="1"/>
  </cols>
  <sheetData>
    <row r="1" spans="1:5" ht="17.25" thickBot="1">
      <c r="A1" s="207" t="s">
        <v>305</v>
      </c>
      <c r="B1" s="208"/>
      <c r="C1" s="208"/>
      <c r="D1" s="208"/>
      <c r="E1" s="209"/>
    </row>
    <row r="2" spans="1:2" ht="15.75">
      <c r="A2" s="16"/>
      <c r="B2" s="16"/>
    </row>
    <row r="3" spans="1:5" ht="15.75">
      <c r="A3" s="27"/>
      <c r="B3" s="16"/>
      <c r="E3" s="95" t="s">
        <v>35</v>
      </c>
    </row>
    <row r="4" spans="1:5" ht="15.75">
      <c r="A4" s="16"/>
      <c r="B4" s="16"/>
      <c r="E4" s="96" t="s">
        <v>36</v>
      </c>
    </row>
    <row r="5" spans="1:2" ht="15.75">
      <c r="A5" s="16"/>
      <c r="B5" s="16"/>
    </row>
    <row r="6" spans="1:5" ht="15.75">
      <c r="A6" s="16"/>
      <c r="B6" s="17"/>
      <c r="E6" s="33" t="s">
        <v>0</v>
      </c>
    </row>
    <row r="7" spans="1:5" ht="15.75">
      <c r="A7" s="25" t="s">
        <v>1</v>
      </c>
      <c r="B7" s="18"/>
      <c r="D7" s="22" t="s">
        <v>62</v>
      </c>
      <c r="E7" s="34">
        <v>0.0284</v>
      </c>
    </row>
    <row r="8" spans="1:7" ht="15.75" customHeight="1">
      <c r="A8" s="26" t="s">
        <v>2</v>
      </c>
      <c r="B8" s="19"/>
      <c r="D8" s="22" t="s">
        <v>63</v>
      </c>
      <c r="E8" s="34">
        <v>0.0936</v>
      </c>
      <c r="G8" s="1" t="s">
        <v>313</v>
      </c>
    </row>
    <row r="9" spans="1:7" ht="15.75">
      <c r="A9" s="25" t="s">
        <v>109</v>
      </c>
      <c r="B9" s="18"/>
      <c r="D9" s="22" t="s">
        <v>64</v>
      </c>
      <c r="E9" s="34">
        <v>0.265</v>
      </c>
      <c r="G9" s="1" t="s">
        <v>236</v>
      </c>
    </row>
    <row r="10" spans="1:5" ht="15.75">
      <c r="A10" s="25" t="s">
        <v>135</v>
      </c>
      <c r="B10" s="18"/>
      <c r="D10" s="22" t="s">
        <v>65</v>
      </c>
      <c r="E10" s="83">
        <f>(+E13*E7)+(E14*E8)</f>
        <v>0.05448</v>
      </c>
    </row>
    <row r="11" spans="1:5" ht="15.75">
      <c r="A11" s="25" t="s">
        <v>134</v>
      </c>
      <c r="B11" s="18"/>
      <c r="D11" s="22" t="s">
        <v>138</v>
      </c>
      <c r="E11" s="83">
        <f>(+E14*E8)</f>
        <v>0.03744</v>
      </c>
    </row>
    <row r="12" spans="1:5" ht="15.75">
      <c r="A12" s="25"/>
      <c r="B12" s="18"/>
      <c r="E12" s="35"/>
    </row>
    <row r="13" spans="1:7" ht="15.75">
      <c r="A13" s="25" t="s">
        <v>34</v>
      </c>
      <c r="B13" s="18"/>
      <c r="D13" s="22" t="s">
        <v>66</v>
      </c>
      <c r="E13" s="34">
        <v>0.6</v>
      </c>
      <c r="G13" s="1" t="s">
        <v>313</v>
      </c>
    </row>
    <row r="14" spans="1:7" ht="15.75">
      <c r="A14" s="25" t="s">
        <v>33</v>
      </c>
      <c r="B14" s="18"/>
      <c r="D14" s="22" t="s">
        <v>67</v>
      </c>
      <c r="E14" s="34">
        <v>0.4</v>
      </c>
      <c r="G14" s="1" t="s">
        <v>236</v>
      </c>
    </row>
    <row r="15" spans="1:2" ht="15.75">
      <c r="A15" s="16"/>
      <c r="B15" s="16"/>
    </row>
    <row r="16" spans="1:5" ht="15.75">
      <c r="A16" s="16" t="s">
        <v>73</v>
      </c>
      <c r="B16" s="16"/>
      <c r="D16" s="22" t="s">
        <v>68</v>
      </c>
      <c r="E16" s="29">
        <v>0.13</v>
      </c>
    </row>
    <row r="17" spans="1:7" ht="15.75">
      <c r="A17" s="199" t="s">
        <v>110</v>
      </c>
      <c r="B17" s="16"/>
      <c r="D17" s="22" t="s">
        <v>111</v>
      </c>
      <c r="E17" s="29">
        <v>0</v>
      </c>
      <c r="F17" s="198" t="s">
        <v>233</v>
      </c>
      <c r="G17" s="198"/>
    </row>
    <row r="18" spans="1:7" ht="15.75">
      <c r="A18" s="199"/>
      <c r="B18" s="16"/>
      <c r="F18" s="198"/>
      <c r="G18" s="198"/>
    </row>
    <row r="19" spans="1:7" ht="15.75">
      <c r="A19" s="199" t="s">
        <v>121</v>
      </c>
      <c r="B19" s="16"/>
      <c r="F19" s="198"/>
      <c r="G19" s="198"/>
    </row>
    <row r="20" spans="1:7" ht="15.75">
      <c r="A20" s="198" t="s">
        <v>122</v>
      </c>
      <c r="B20" s="16"/>
      <c r="C20" s="1" t="s">
        <v>314</v>
      </c>
      <c r="D20" s="22" t="s">
        <v>125</v>
      </c>
      <c r="E20" s="90">
        <f>(83.95+89)/2/1000</f>
        <v>0.086475</v>
      </c>
      <c r="F20" s="198"/>
      <c r="G20" s="198"/>
    </row>
    <row r="21" spans="1:7" ht="15.75">
      <c r="A21" s="198" t="s">
        <v>222</v>
      </c>
      <c r="B21" s="16"/>
      <c r="C21" s="1" t="s">
        <v>194</v>
      </c>
      <c r="D21" s="22" t="s">
        <v>126</v>
      </c>
      <c r="E21" s="90">
        <f>0.0044+0.0013</f>
        <v>0.0057</v>
      </c>
      <c r="F21" s="198"/>
      <c r="G21" s="198"/>
    </row>
    <row r="22" spans="1:14" ht="15.75">
      <c r="A22" s="198" t="s">
        <v>223</v>
      </c>
      <c r="B22" s="16"/>
      <c r="C22" s="1" t="s">
        <v>194</v>
      </c>
      <c r="D22" s="22" t="s">
        <v>127</v>
      </c>
      <c r="E22" s="90">
        <v>2.9566</v>
      </c>
      <c r="G22" s="210" t="s">
        <v>324</v>
      </c>
      <c r="H22" s="210"/>
      <c r="I22" s="210"/>
      <c r="J22" s="210"/>
      <c r="K22" s="210"/>
      <c r="L22" s="198"/>
      <c r="M22" s="198"/>
      <c r="N22" s="198"/>
    </row>
    <row r="23" spans="1:14" ht="15.75">
      <c r="A23" s="198" t="s">
        <v>224</v>
      </c>
      <c r="B23" s="16"/>
      <c r="C23" s="1" t="s">
        <v>194</v>
      </c>
      <c r="D23" s="22" t="s">
        <v>128</v>
      </c>
      <c r="E23" s="90">
        <v>2.3933</v>
      </c>
      <c r="F23" s="198"/>
      <c r="G23" s="210"/>
      <c r="H23" s="210"/>
      <c r="I23" s="210"/>
      <c r="J23" s="210"/>
      <c r="K23" s="210"/>
      <c r="L23" s="198"/>
      <c r="M23" s="198"/>
      <c r="N23" s="198"/>
    </row>
    <row r="24" spans="1:7" ht="15.75">
      <c r="A24" s="199"/>
      <c r="B24" s="16"/>
      <c r="F24" s="198"/>
      <c r="G24" s="198"/>
    </row>
    <row r="25" spans="1:7" ht="15.75">
      <c r="A25" s="16" t="s">
        <v>197</v>
      </c>
      <c r="B25" s="16"/>
      <c r="C25" s="1" t="s">
        <v>198</v>
      </c>
      <c r="D25" s="22" t="s">
        <v>195</v>
      </c>
      <c r="E25" s="97">
        <v>0</v>
      </c>
      <c r="F25" s="198" t="s">
        <v>234</v>
      </c>
      <c r="G25" s="198"/>
    </row>
    <row r="26" spans="1:8" ht="15.75">
      <c r="A26" s="16" t="s">
        <v>199</v>
      </c>
      <c r="B26" s="16"/>
      <c r="C26" s="1" t="s">
        <v>200</v>
      </c>
      <c r="D26" s="22" t="s">
        <v>196</v>
      </c>
      <c r="E26" s="97">
        <v>0</v>
      </c>
      <c r="F26" s="198" t="s">
        <v>235</v>
      </c>
      <c r="G26" s="198"/>
      <c r="H26" s="198"/>
    </row>
    <row r="27" spans="1:2" ht="15.75">
      <c r="A27" s="27"/>
      <c r="B27" s="20"/>
    </row>
    <row r="28" spans="1:5" ht="15.75" hidden="1">
      <c r="A28" s="36" t="s">
        <v>9</v>
      </c>
      <c r="B28" s="37"/>
      <c r="C28" s="53" t="s">
        <v>20</v>
      </c>
      <c r="D28" s="53"/>
      <c r="E28" s="46" t="s">
        <v>15</v>
      </c>
    </row>
    <row r="29" spans="1:5" ht="30.75" hidden="1">
      <c r="A29" s="38" t="s">
        <v>19</v>
      </c>
      <c r="B29" s="21"/>
      <c r="C29" s="84" t="s">
        <v>102</v>
      </c>
      <c r="D29" s="59" t="s">
        <v>46</v>
      </c>
      <c r="E29" s="57"/>
    </row>
    <row r="30" spans="1:5" ht="15.75" hidden="1">
      <c r="A30" s="38" t="s">
        <v>117</v>
      </c>
      <c r="B30" s="21"/>
      <c r="C30" s="84" t="s">
        <v>166</v>
      </c>
      <c r="D30" s="59" t="s">
        <v>112</v>
      </c>
      <c r="E30" s="58">
        <f>+E29*(1+$E$17)</f>
        <v>0</v>
      </c>
    </row>
    <row r="31" spans="1:5" ht="15.75" hidden="1">
      <c r="A31" s="38" t="s">
        <v>5</v>
      </c>
      <c r="B31" s="21"/>
      <c r="C31" s="54" t="s">
        <v>25</v>
      </c>
      <c r="D31" s="59" t="s">
        <v>47</v>
      </c>
      <c r="E31" s="57"/>
    </row>
    <row r="32" spans="1:5" ht="15.75" hidden="1">
      <c r="A32" s="38" t="s">
        <v>6</v>
      </c>
      <c r="B32" s="21"/>
      <c r="C32" s="55" t="s">
        <v>28</v>
      </c>
      <c r="D32" s="59" t="s">
        <v>48</v>
      </c>
      <c r="E32" s="57"/>
    </row>
    <row r="33" spans="1:5" ht="15.75" hidden="1">
      <c r="A33" s="38" t="s">
        <v>61</v>
      </c>
      <c r="B33" s="21"/>
      <c r="C33" s="54" t="s">
        <v>29</v>
      </c>
      <c r="D33" s="59" t="s">
        <v>49</v>
      </c>
      <c r="E33" s="57"/>
    </row>
    <row r="34" spans="1:5" ht="15.75" hidden="1">
      <c r="A34" s="38" t="s">
        <v>8</v>
      </c>
      <c r="B34" s="21"/>
      <c r="C34" s="54" t="s">
        <v>30</v>
      </c>
      <c r="D34" s="59" t="s">
        <v>50</v>
      </c>
      <c r="E34" s="58">
        <f>+E31-E32</f>
        <v>0</v>
      </c>
    </row>
    <row r="35" spans="1:5" ht="15.75" hidden="1">
      <c r="A35" s="38"/>
      <c r="B35" s="21"/>
      <c r="C35" s="54"/>
      <c r="D35" s="59"/>
      <c r="E35" s="39"/>
    </row>
    <row r="36" spans="1:6" ht="15.75" hidden="1">
      <c r="A36" s="40" t="s">
        <v>38</v>
      </c>
      <c r="B36" s="20"/>
      <c r="C36" s="56"/>
      <c r="D36" s="59" t="s">
        <v>85</v>
      </c>
      <c r="E36" s="57"/>
      <c r="F36" s="128"/>
    </row>
    <row r="37" spans="1:5" ht="15.75" hidden="1">
      <c r="A37" s="40" t="s">
        <v>37</v>
      </c>
      <c r="B37" s="20"/>
      <c r="C37" s="56"/>
      <c r="D37" s="59" t="s">
        <v>86</v>
      </c>
      <c r="E37" s="57"/>
    </row>
    <row r="38" spans="1:5" ht="15.75" hidden="1">
      <c r="A38" s="40" t="s">
        <v>231</v>
      </c>
      <c r="B38" s="20" t="s">
        <v>216</v>
      </c>
      <c r="C38" s="54" t="s">
        <v>188</v>
      </c>
      <c r="D38" s="59" t="s">
        <v>120</v>
      </c>
      <c r="E38" s="57"/>
    </row>
    <row r="39" spans="1:5" ht="15.75" hidden="1">
      <c r="A39" s="40"/>
      <c r="B39" s="20"/>
      <c r="C39" s="54"/>
      <c r="D39" s="59"/>
      <c r="E39" s="39"/>
    </row>
    <row r="40" spans="1:5" ht="15.75" hidden="1">
      <c r="A40" s="42" t="s">
        <v>75</v>
      </c>
      <c r="B40" s="21"/>
      <c r="C40" s="54"/>
      <c r="D40" s="59"/>
      <c r="E40" s="39"/>
    </row>
    <row r="41" spans="1:5" ht="15.75" hidden="1">
      <c r="A41" s="38" t="s">
        <v>45</v>
      </c>
      <c r="B41" s="21"/>
      <c r="C41" s="54" t="s">
        <v>74</v>
      </c>
      <c r="D41" s="59" t="s">
        <v>69</v>
      </c>
      <c r="E41" s="58">
        <f>+E34</f>
        <v>0</v>
      </c>
    </row>
    <row r="42" spans="1:5" ht="15.75" hidden="1">
      <c r="A42" s="51" t="s">
        <v>115</v>
      </c>
      <c r="B42" s="21"/>
      <c r="C42" s="54"/>
      <c r="D42" s="59"/>
      <c r="E42" s="91"/>
    </row>
    <row r="43" spans="1:5" ht="15.75" hidden="1">
      <c r="A43" s="38" t="s">
        <v>116</v>
      </c>
      <c r="B43" s="21"/>
      <c r="C43" s="54" t="s">
        <v>132</v>
      </c>
      <c r="D43" s="89"/>
      <c r="E43" s="88">
        <f>+E30</f>
        <v>0</v>
      </c>
    </row>
    <row r="44" spans="1:5" ht="15.75" hidden="1">
      <c r="A44" s="51" t="s">
        <v>118</v>
      </c>
      <c r="B44" s="21"/>
      <c r="C44" s="54"/>
      <c r="D44" s="89"/>
      <c r="E44" s="92"/>
    </row>
    <row r="45" spans="1:5" ht="15.75" hidden="1">
      <c r="A45" s="38" t="s">
        <v>119</v>
      </c>
      <c r="B45" s="21"/>
      <c r="C45" s="54" t="s">
        <v>139</v>
      </c>
      <c r="D45" s="89"/>
      <c r="E45" s="88">
        <f>+E38*$E$20</f>
        <v>0</v>
      </c>
    </row>
    <row r="46" spans="1:5" ht="15.75" hidden="1">
      <c r="A46" s="38" t="s">
        <v>129</v>
      </c>
      <c r="B46" s="21"/>
      <c r="C46" s="54" t="s">
        <v>140</v>
      </c>
      <c r="D46" s="59"/>
      <c r="E46" s="88">
        <f>+E38*$E$21</f>
        <v>0</v>
      </c>
    </row>
    <row r="47" spans="1:5" ht="15.75" hidden="1">
      <c r="A47" s="38" t="s">
        <v>123</v>
      </c>
      <c r="B47" s="21"/>
      <c r="C47" s="54" t="s">
        <v>130</v>
      </c>
      <c r="D47" s="59"/>
      <c r="E47" s="88">
        <f>+E37*$E$22</f>
        <v>0</v>
      </c>
    </row>
    <row r="48" spans="1:5" ht="15.75" hidden="1">
      <c r="A48" s="38" t="s">
        <v>124</v>
      </c>
      <c r="B48" s="21"/>
      <c r="C48" s="54" t="s">
        <v>131</v>
      </c>
      <c r="D48" s="59"/>
      <c r="E48" s="88">
        <f>+E37*$E$23</f>
        <v>0</v>
      </c>
    </row>
    <row r="49" spans="1:5" ht="15.75" hidden="1">
      <c r="A49" s="38" t="s">
        <v>179</v>
      </c>
      <c r="B49" s="21"/>
      <c r="C49" s="54"/>
      <c r="D49" s="59" t="s">
        <v>70</v>
      </c>
      <c r="E49" s="88">
        <f>SUM(E43:E48)</f>
        <v>0</v>
      </c>
    </row>
    <row r="50" spans="1:5" ht="15.75" hidden="1">
      <c r="A50" s="38" t="s">
        <v>177</v>
      </c>
      <c r="B50" s="21"/>
      <c r="C50" s="54" t="s">
        <v>180</v>
      </c>
      <c r="D50" s="59" t="s">
        <v>178</v>
      </c>
      <c r="E50" s="88">
        <f>+E49*$E$16</f>
        <v>0</v>
      </c>
    </row>
    <row r="51" spans="1:5" ht="15.75" hidden="1">
      <c r="A51" s="40" t="s">
        <v>44</v>
      </c>
      <c r="B51" s="16"/>
      <c r="C51" s="54" t="s">
        <v>181</v>
      </c>
      <c r="D51" s="59" t="s">
        <v>84</v>
      </c>
      <c r="E51" s="58">
        <f>+E41+E50</f>
        <v>0</v>
      </c>
    </row>
    <row r="52" spans="1:5" ht="15.75" hidden="1">
      <c r="A52" s="40"/>
      <c r="B52" s="16"/>
      <c r="C52" s="54"/>
      <c r="D52" s="59"/>
      <c r="E52" s="45"/>
    </row>
    <row r="53" spans="1:5" ht="15.75" hidden="1">
      <c r="A53" s="93" t="s">
        <v>133</v>
      </c>
      <c r="B53" s="16"/>
      <c r="C53" s="54"/>
      <c r="D53" s="59"/>
      <c r="E53" s="45"/>
    </row>
    <row r="54" spans="1:5" ht="15.75" hidden="1">
      <c r="A54" s="40" t="s">
        <v>136</v>
      </c>
      <c r="B54" s="16"/>
      <c r="C54" s="54" t="s">
        <v>137</v>
      </c>
      <c r="D54" s="59" t="s">
        <v>142</v>
      </c>
      <c r="E54" s="58">
        <f>+E51*$E$11</f>
        <v>0</v>
      </c>
    </row>
    <row r="55" spans="1:5" ht="15.75" hidden="1">
      <c r="A55" s="40" t="s">
        <v>141</v>
      </c>
      <c r="B55" s="16"/>
      <c r="C55" s="54" t="s">
        <v>143</v>
      </c>
      <c r="D55" s="59" t="s">
        <v>144</v>
      </c>
      <c r="E55" s="58">
        <f>+E54*$E$9</f>
        <v>0</v>
      </c>
    </row>
    <row r="56" spans="1:5" ht="15.75" hidden="1">
      <c r="A56" s="40" t="s">
        <v>202</v>
      </c>
      <c r="B56" s="16"/>
      <c r="C56" s="54" t="s">
        <v>145</v>
      </c>
      <c r="D56" s="59" t="s">
        <v>146</v>
      </c>
      <c r="E56" s="58">
        <f>+E55/(1-$E$9)</f>
        <v>0</v>
      </c>
    </row>
    <row r="57" spans="1:5" ht="16.5" hidden="1" thickBot="1">
      <c r="A57" s="43"/>
      <c r="B57" s="44"/>
      <c r="C57" s="126"/>
      <c r="D57" s="60"/>
      <c r="E57" s="94"/>
    </row>
    <row r="58" spans="1:5" ht="15.75" hidden="1">
      <c r="A58" s="16"/>
      <c r="B58" s="16"/>
      <c r="C58" s="16"/>
      <c r="D58" s="52"/>
      <c r="E58" s="28"/>
    </row>
    <row r="59" spans="1:2" ht="15.75" hidden="1">
      <c r="A59" s="27"/>
      <c r="B59" s="20"/>
    </row>
    <row r="60" spans="1:5" ht="15.75" hidden="1">
      <c r="A60" s="36" t="s">
        <v>22</v>
      </c>
      <c r="B60" s="37"/>
      <c r="C60" s="53" t="s">
        <v>20</v>
      </c>
      <c r="D60" s="53"/>
      <c r="E60" s="46" t="s">
        <v>15</v>
      </c>
    </row>
    <row r="61" spans="1:5" ht="30.75" hidden="1">
      <c r="A61" s="38" t="s">
        <v>19</v>
      </c>
      <c r="B61" s="21"/>
      <c r="C61" s="84" t="s">
        <v>103</v>
      </c>
      <c r="D61" s="59" t="s">
        <v>51</v>
      </c>
      <c r="E61" s="57"/>
    </row>
    <row r="62" spans="1:5" ht="15.75" hidden="1">
      <c r="A62" s="38" t="s">
        <v>117</v>
      </c>
      <c r="B62" s="21"/>
      <c r="C62" s="84" t="s">
        <v>165</v>
      </c>
      <c r="D62" s="59" t="s">
        <v>113</v>
      </c>
      <c r="E62" s="57">
        <f>+E61*(1+$E$17)</f>
        <v>0</v>
      </c>
    </row>
    <row r="63" spans="1:5" ht="15.75" hidden="1">
      <c r="A63" s="38" t="s">
        <v>5</v>
      </c>
      <c r="B63" s="21"/>
      <c r="C63" s="54" t="s">
        <v>26</v>
      </c>
      <c r="D63" s="59" t="s">
        <v>52</v>
      </c>
      <c r="E63" s="57"/>
    </row>
    <row r="64" spans="1:5" ht="15.75" hidden="1">
      <c r="A64" s="38" t="s">
        <v>6</v>
      </c>
      <c r="B64" s="21"/>
      <c r="C64" s="55" t="s">
        <v>28</v>
      </c>
      <c r="D64" s="59" t="s">
        <v>53</v>
      </c>
      <c r="E64" s="57"/>
    </row>
    <row r="65" spans="1:5" ht="15.75" hidden="1">
      <c r="A65" s="38" t="s">
        <v>61</v>
      </c>
      <c r="B65" s="21"/>
      <c r="C65" s="54" t="s">
        <v>29</v>
      </c>
      <c r="D65" s="59" t="s">
        <v>54</v>
      </c>
      <c r="E65" s="57"/>
    </row>
    <row r="66" spans="1:5" ht="15.75" hidden="1">
      <c r="A66" s="38" t="s">
        <v>8</v>
      </c>
      <c r="B66" s="21"/>
      <c r="C66" s="54" t="s">
        <v>31</v>
      </c>
      <c r="D66" s="59" t="s">
        <v>55</v>
      </c>
      <c r="E66" s="58">
        <f>+E63-E64</f>
        <v>0</v>
      </c>
    </row>
    <row r="67" spans="1:5" ht="15.75" hidden="1">
      <c r="A67" s="41"/>
      <c r="B67" s="20"/>
      <c r="C67" s="54"/>
      <c r="D67" s="59"/>
      <c r="E67" s="39"/>
    </row>
    <row r="68" spans="1:5" ht="15.75" hidden="1">
      <c r="A68" s="40" t="s">
        <v>40</v>
      </c>
      <c r="B68" s="20"/>
      <c r="C68" s="56"/>
      <c r="D68" s="59" t="s">
        <v>87</v>
      </c>
      <c r="E68" s="57">
        <v>0</v>
      </c>
    </row>
    <row r="69" spans="1:5" ht="15.75" hidden="1">
      <c r="A69" s="40" t="s">
        <v>39</v>
      </c>
      <c r="B69" s="20"/>
      <c r="C69" s="56"/>
      <c r="D69" s="59" t="s">
        <v>88</v>
      </c>
      <c r="E69" s="57">
        <v>0</v>
      </c>
    </row>
    <row r="70" spans="1:5" ht="15.75" hidden="1">
      <c r="A70" s="40" t="s">
        <v>230</v>
      </c>
      <c r="B70" s="20" t="s">
        <v>216</v>
      </c>
      <c r="C70" s="54" t="s">
        <v>188</v>
      </c>
      <c r="D70" s="59" t="s">
        <v>147</v>
      </c>
      <c r="E70" s="57">
        <v>0</v>
      </c>
    </row>
    <row r="71" spans="1:5" ht="15.75" hidden="1">
      <c r="A71" s="40"/>
      <c r="B71" s="20"/>
      <c r="C71" s="54"/>
      <c r="D71" s="59"/>
      <c r="E71" s="45"/>
    </row>
    <row r="72" spans="1:5" ht="15.75" hidden="1">
      <c r="A72" s="42" t="s">
        <v>76</v>
      </c>
      <c r="B72" s="21"/>
      <c r="C72" s="54"/>
      <c r="D72" s="59"/>
      <c r="E72" s="39"/>
    </row>
    <row r="73" spans="1:5" ht="15.75" hidden="1">
      <c r="A73" s="38" t="s">
        <v>45</v>
      </c>
      <c r="B73" s="21"/>
      <c r="C73" s="54" t="s">
        <v>77</v>
      </c>
      <c r="D73" s="59" t="s">
        <v>93</v>
      </c>
      <c r="E73" s="58">
        <f>+E66</f>
        <v>0</v>
      </c>
    </row>
    <row r="74" spans="1:5" ht="15.75" hidden="1">
      <c r="A74" s="51" t="s">
        <v>115</v>
      </c>
      <c r="B74" s="21"/>
      <c r="C74" s="54"/>
      <c r="D74" s="59"/>
      <c r="E74" s="91"/>
    </row>
    <row r="75" spans="1:5" ht="15.75" hidden="1">
      <c r="A75" s="38" t="s">
        <v>116</v>
      </c>
      <c r="B75" s="21"/>
      <c r="C75" s="54" t="s">
        <v>148</v>
      </c>
      <c r="D75" s="89"/>
      <c r="E75" s="88">
        <f>+E62</f>
        <v>0</v>
      </c>
    </row>
    <row r="76" spans="1:5" ht="15.75" hidden="1">
      <c r="A76" s="51" t="s">
        <v>118</v>
      </c>
      <c r="B76" s="21"/>
      <c r="C76" s="54"/>
      <c r="D76" s="89"/>
      <c r="E76" s="92"/>
    </row>
    <row r="77" spans="1:5" ht="15.75" hidden="1">
      <c r="A77" s="38" t="s">
        <v>119</v>
      </c>
      <c r="B77" s="21"/>
      <c r="C77" s="54" t="s">
        <v>149</v>
      </c>
      <c r="D77" s="89"/>
      <c r="E77" s="88">
        <f>+E70*$E$20</f>
        <v>0</v>
      </c>
    </row>
    <row r="78" spans="1:5" ht="15.75" hidden="1">
      <c r="A78" s="38" t="s">
        <v>129</v>
      </c>
      <c r="B78" s="21"/>
      <c r="C78" s="54" t="s">
        <v>150</v>
      </c>
      <c r="D78" s="59"/>
      <c r="E78" s="88">
        <f>+E70*$E$21</f>
        <v>0</v>
      </c>
    </row>
    <row r="79" spans="1:5" ht="15.75" hidden="1">
      <c r="A79" s="38" t="s">
        <v>123</v>
      </c>
      <c r="B79" s="21"/>
      <c r="C79" s="54" t="s">
        <v>151</v>
      </c>
      <c r="D79" s="59"/>
      <c r="E79" s="88">
        <f>+E69*$E$22</f>
        <v>0</v>
      </c>
    </row>
    <row r="80" spans="1:5" ht="15.75" hidden="1">
      <c r="A80" s="38" t="s">
        <v>124</v>
      </c>
      <c r="B80" s="21"/>
      <c r="C80" s="54" t="s">
        <v>152</v>
      </c>
      <c r="D80" s="59"/>
      <c r="E80" s="88">
        <f>+E69*$E$23</f>
        <v>0</v>
      </c>
    </row>
    <row r="81" spans="1:5" ht="15.75" hidden="1">
      <c r="A81" s="38" t="s">
        <v>179</v>
      </c>
      <c r="B81" s="21"/>
      <c r="C81" s="54"/>
      <c r="D81" s="59" t="s">
        <v>153</v>
      </c>
      <c r="E81" s="88">
        <f>SUM(E75:E80)</f>
        <v>0</v>
      </c>
    </row>
    <row r="82" spans="1:5" ht="15.75" hidden="1">
      <c r="A82" s="38" t="s">
        <v>177</v>
      </c>
      <c r="B82" s="21"/>
      <c r="C82" s="54" t="s">
        <v>185</v>
      </c>
      <c r="D82" s="59" t="s">
        <v>182</v>
      </c>
      <c r="E82" s="88">
        <f>+E81*$E$16</f>
        <v>0</v>
      </c>
    </row>
    <row r="83" spans="1:5" ht="15.75" hidden="1">
      <c r="A83" s="40" t="s">
        <v>44</v>
      </c>
      <c r="B83" s="16"/>
      <c r="C83" s="54" t="s">
        <v>183</v>
      </c>
      <c r="D83" s="59" t="s">
        <v>154</v>
      </c>
      <c r="E83" s="58">
        <f>+E73+E81</f>
        <v>0</v>
      </c>
    </row>
    <row r="84" spans="1:5" ht="15.75" hidden="1">
      <c r="A84" s="40"/>
      <c r="B84" s="16"/>
      <c r="C84" s="54"/>
      <c r="D84" s="59"/>
      <c r="E84" s="45"/>
    </row>
    <row r="85" spans="1:5" ht="15.75" hidden="1">
      <c r="A85" s="93" t="s">
        <v>133</v>
      </c>
      <c r="B85" s="16"/>
      <c r="C85" s="54"/>
      <c r="D85" s="59"/>
      <c r="E85" s="45"/>
    </row>
    <row r="86" spans="1:5" ht="15.75" hidden="1">
      <c r="A86" s="40" t="s">
        <v>136</v>
      </c>
      <c r="B86" s="16"/>
      <c r="C86" s="54" t="s">
        <v>155</v>
      </c>
      <c r="D86" s="59" t="s">
        <v>156</v>
      </c>
      <c r="E86" s="58">
        <f>+E83*$E$11</f>
        <v>0</v>
      </c>
    </row>
    <row r="87" spans="1:5" ht="15.75" hidden="1">
      <c r="A87" s="40" t="s">
        <v>141</v>
      </c>
      <c r="B87" s="16"/>
      <c r="C87" s="54" t="s">
        <v>159</v>
      </c>
      <c r="D87" s="59" t="s">
        <v>157</v>
      </c>
      <c r="E87" s="58">
        <f>+E86*$E$9</f>
        <v>0</v>
      </c>
    </row>
    <row r="88" spans="1:5" ht="15.75" hidden="1">
      <c r="A88" s="40" t="s">
        <v>202</v>
      </c>
      <c r="B88" s="16"/>
      <c r="C88" s="54" t="s">
        <v>160</v>
      </c>
      <c r="D88" s="59" t="s">
        <v>158</v>
      </c>
      <c r="E88" s="58">
        <f>+E87/(1-$E$9)</f>
        <v>0</v>
      </c>
    </row>
    <row r="89" spans="1:5" ht="16.5" hidden="1" thickBot="1">
      <c r="A89" s="43"/>
      <c r="B89" s="44"/>
      <c r="C89" s="126"/>
      <c r="D89" s="60"/>
      <c r="E89" s="94"/>
    </row>
    <row r="91" ht="16.5" thickBot="1"/>
    <row r="92" spans="1:5" ht="15.75">
      <c r="A92" s="36" t="s">
        <v>79</v>
      </c>
      <c r="B92" s="37"/>
      <c r="C92" s="53" t="s">
        <v>20</v>
      </c>
      <c r="D92" s="53"/>
      <c r="E92" s="46" t="s">
        <v>15</v>
      </c>
    </row>
    <row r="93" spans="1:6" ht="15.75">
      <c r="A93" s="38" t="s">
        <v>19</v>
      </c>
      <c r="B93" s="23" t="s">
        <v>23</v>
      </c>
      <c r="C93" s="54" t="s">
        <v>105</v>
      </c>
      <c r="D93" s="59" t="s">
        <v>56</v>
      </c>
      <c r="E93" s="57">
        <f>'Cost Allocation-OM&amp;A (AirProd)'!C77</f>
        <v>433117.7731956117</v>
      </c>
      <c r="F93" s="198"/>
    </row>
    <row r="94" spans="1:6" ht="15.75">
      <c r="A94" s="38"/>
      <c r="B94" s="23"/>
      <c r="C94" s="54" t="s">
        <v>192</v>
      </c>
      <c r="D94" s="59"/>
      <c r="E94" s="45"/>
      <c r="F94" s="198"/>
    </row>
    <row r="95" spans="1:6" ht="15.75">
      <c r="A95" s="38"/>
      <c r="B95" s="23" t="s">
        <v>24</v>
      </c>
      <c r="C95" s="54" t="s">
        <v>104</v>
      </c>
      <c r="D95" s="59"/>
      <c r="E95" s="45"/>
      <c r="F95" s="198"/>
    </row>
    <row r="96" spans="1:6" ht="15.75">
      <c r="A96" s="38"/>
      <c r="B96" s="21"/>
      <c r="C96" s="54" t="s">
        <v>193</v>
      </c>
      <c r="D96" s="59"/>
      <c r="E96" s="45"/>
      <c r="F96" s="198"/>
    </row>
    <row r="97" spans="1:6" ht="15.75">
      <c r="A97" s="38" t="s">
        <v>117</v>
      </c>
      <c r="B97" s="21"/>
      <c r="C97" s="84" t="s">
        <v>164</v>
      </c>
      <c r="D97" s="59" t="s">
        <v>114</v>
      </c>
      <c r="E97" s="58">
        <f>+E93*(1+$E$17)</f>
        <v>433117.7731956117</v>
      </c>
      <c r="F97" s="198"/>
    </row>
    <row r="98" spans="1:6" ht="15.75">
      <c r="A98" s="38" t="s">
        <v>5</v>
      </c>
      <c r="B98" s="23" t="s">
        <v>23</v>
      </c>
      <c r="C98" s="54" t="s">
        <v>161</v>
      </c>
      <c r="D98" s="59" t="s">
        <v>57</v>
      </c>
      <c r="E98" s="57">
        <f>'Cost Allocation-OM&amp;A Breakdown'!C25</f>
        <v>6794939.22948611</v>
      </c>
      <c r="F98" s="198"/>
    </row>
    <row r="99" spans="1:6" ht="15.75">
      <c r="A99" s="38"/>
      <c r="B99" s="23" t="s">
        <v>24</v>
      </c>
      <c r="C99" s="54" t="s">
        <v>27</v>
      </c>
      <c r="D99" s="59"/>
      <c r="E99" s="45"/>
      <c r="F99" s="198"/>
    </row>
    <row r="100" spans="1:6" ht="15.75">
      <c r="A100" s="38" t="s">
        <v>6</v>
      </c>
      <c r="B100" s="21"/>
      <c r="C100" s="55" t="s">
        <v>28</v>
      </c>
      <c r="D100" s="59" t="s">
        <v>58</v>
      </c>
      <c r="E100" s="57">
        <f>'Cost Allocation-OM&amp;A Breakdown'!D25</f>
        <v>2577488.030409957</v>
      </c>
      <c r="F100" s="198"/>
    </row>
    <row r="101" spans="1:6" ht="15.75">
      <c r="A101" s="38" t="s">
        <v>61</v>
      </c>
      <c r="B101" s="21"/>
      <c r="C101" s="54" t="s">
        <v>29</v>
      </c>
      <c r="D101" s="59" t="s">
        <v>59</v>
      </c>
      <c r="E101" s="57">
        <f>'Cost Allocation-OM&amp;A Breakdown'!E25</f>
        <v>99729.46686341181</v>
      </c>
      <c r="F101" s="198"/>
    </row>
    <row r="102" spans="1:6" ht="15.75">
      <c r="A102" s="38" t="s">
        <v>8</v>
      </c>
      <c r="B102" s="21"/>
      <c r="C102" s="54" t="s">
        <v>32</v>
      </c>
      <c r="D102" s="59" t="s">
        <v>60</v>
      </c>
      <c r="E102" s="58">
        <f>+E98-E100</f>
        <v>4217451.199076153</v>
      </c>
      <c r="F102" s="198"/>
    </row>
    <row r="103" spans="1:6" ht="15.75">
      <c r="A103" s="38"/>
      <c r="B103" s="21"/>
      <c r="C103" s="54"/>
      <c r="D103" s="59"/>
      <c r="E103" s="39"/>
      <c r="F103" s="198"/>
    </row>
    <row r="104" spans="1:7" ht="15.75">
      <c r="A104" s="40" t="s">
        <v>42</v>
      </c>
      <c r="B104" s="20"/>
      <c r="C104" s="54"/>
      <c r="D104" s="59" t="s">
        <v>89</v>
      </c>
      <c r="E104" s="57">
        <v>110605.1</v>
      </c>
      <c r="G104" s="198" t="s">
        <v>321</v>
      </c>
    </row>
    <row r="105" spans="1:7" ht="15.75">
      <c r="A105" s="40" t="s">
        <v>41</v>
      </c>
      <c r="B105" s="20"/>
      <c r="C105" s="54"/>
      <c r="D105" s="59" t="s">
        <v>90</v>
      </c>
      <c r="E105" s="57">
        <v>55057</v>
      </c>
      <c r="G105" s="198" t="s">
        <v>320</v>
      </c>
    </row>
    <row r="106" spans="1:7" ht="15.75">
      <c r="A106" s="40" t="s">
        <v>229</v>
      </c>
      <c r="B106" s="20" t="s">
        <v>216</v>
      </c>
      <c r="C106" s="54" t="s">
        <v>188</v>
      </c>
      <c r="D106" s="59" t="s">
        <v>162</v>
      </c>
      <c r="E106" s="57"/>
      <c r="G106" s="1" t="s">
        <v>237</v>
      </c>
    </row>
    <row r="107" spans="1:7" ht="15.75">
      <c r="A107" s="40"/>
      <c r="B107" s="16"/>
      <c r="C107" s="54"/>
      <c r="D107" s="59"/>
      <c r="E107" s="39"/>
      <c r="G107" s="1" t="s">
        <v>238</v>
      </c>
    </row>
    <row r="108" spans="1:6" ht="15.75">
      <c r="A108" s="85" t="s">
        <v>108</v>
      </c>
      <c r="B108" s="21"/>
      <c r="C108" s="54"/>
      <c r="D108" s="59" t="s">
        <v>91</v>
      </c>
      <c r="E108" s="57">
        <f>313+31</f>
        <v>344</v>
      </c>
      <c r="F108" s="198"/>
    </row>
    <row r="109" spans="1:5" ht="15.75">
      <c r="A109" s="38" t="s">
        <v>43</v>
      </c>
      <c r="B109" s="21"/>
      <c r="C109" s="54"/>
      <c r="D109" s="59" t="s">
        <v>92</v>
      </c>
      <c r="E109" s="61">
        <v>5.4</v>
      </c>
    </row>
    <row r="110" spans="1:5" ht="15.75">
      <c r="A110" s="38"/>
      <c r="B110" s="21"/>
      <c r="C110" s="54"/>
      <c r="D110" s="59"/>
      <c r="E110" s="39"/>
    </row>
    <row r="111" spans="1:5" ht="15.75">
      <c r="A111" s="42" t="s">
        <v>80</v>
      </c>
      <c r="B111" s="21"/>
      <c r="C111" s="54"/>
      <c r="D111" s="59"/>
      <c r="E111" s="39"/>
    </row>
    <row r="112" spans="1:5" ht="15.75">
      <c r="A112" s="38" t="s">
        <v>45</v>
      </c>
      <c r="B112" s="21"/>
      <c r="C112" s="54" t="s">
        <v>78</v>
      </c>
      <c r="D112" s="59" t="s">
        <v>94</v>
      </c>
      <c r="E112" s="58">
        <f>+E102</f>
        <v>4217451.199076153</v>
      </c>
    </row>
    <row r="113" spans="1:5" ht="15.75">
      <c r="A113" s="51" t="s">
        <v>115</v>
      </c>
      <c r="B113" s="21"/>
      <c r="C113" s="54"/>
      <c r="D113" s="59"/>
      <c r="E113" s="91"/>
    </row>
    <row r="114" spans="1:5" ht="15.75">
      <c r="A114" s="38" t="s">
        <v>116</v>
      </c>
      <c r="B114" s="21"/>
      <c r="C114" s="54" t="s">
        <v>163</v>
      </c>
      <c r="D114" s="89"/>
      <c r="E114" s="88">
        <f>+E97</f>
        <v>433117.7731956117</v>
      </c>
    </row>
    <row r="115" spans="1:5" ht="15.75">
      <c r="A115" s="51" t="s">
        <v>118</v>
      </c>
      <c r="B115" s="21"/>
      <c r="C115" s="54"/>
      <c r="D115" s="89"/>
      <c r="E115" s="92"/>
    </row>
    <row r="116" spans="1:5" ht="15.75">
      <c r="A116" s="38" t="s">
        <v>119</v>
      </c>
      <c r="B116" s="21"/>
      <c r="C116" s="54" t="s">
        <v>167</v>
      </c>
      <c r="D116" s="89"/>
      <c r="E116" s="88">
        <f>+E106*$E$20</f>
        <v>0</v>
      </c>
    </row>
    <row r="117" spans="1:5" ht="15.75">
      <c r="A117" s="38" t="s">
        <v>129</v>
      </c>
      <c r="B117" s="21"/>
      <c r="C117" s="54" t="s">
        <v>168</v>
      </c>
      <c r="D117" s="59"/>
      <c r="E117" s="88">
        <f>+E106*$E$21</f>
        <v>0</v>
      </c>
    </row>
    <row r="118" spans="1:5" ht="15.75">
      <c r="A118" s="38" t="s">
        <v>123</v>
      </c>
      <c r="B118" s="21"/>
      <c r="C118" s="54" t="s">
        <v>169</v>
      </c>
      <c r="D118" s="59"/>
      <c r="E118" s="88">
        <f>+E105*$E$22</f>
        <v>162781.5262</v>
      </c>
    </row>
    <row r="119" spans="1:5" ht="15.75">
      <c r="A119" s="38" t="s">
        <v>124</v>
      </c>
      <c r="B119" s="21"/>
      <c r="C119" s="54" t="s">
        <v>170</v>
      </c>
      <c r="D119" s="59"/>
      <c r="E119" s="88">
        <f>+E105*$E$23</f>
        <v>131767.9181</v>
      </c>
    </row>
    <row r="120" spans="1:5" ht="15.75">
      <c r="A120" s="38" t="s">
        <v>176</v>
      </c>
      <c r="B120" s="21"/>
      <c r="C120" s="54"/>
      <c r="D120" s="59" t="s">
        <v>171</v>
      </c>
      <c r="E120" s="88">
        <f>SUM(E114:E119)</f>
        <v>727667.2174956118</v>
      </c>
    </row>
    <row r="121" spans="1:5" ht="15.75">
      <c r="A121" s="38" t="s">
        <v>177</v>
      </c>
      <c r="B121" s="21"/>
      <c r="C121" s="54" t="s">
        <v>186</v>
      </c>
      <c r="D121" s="59" t="s">
        <v>184</v>
      </c>
      <c r="E121" s="88">
        <f>+E120*$E$16</f>
        <v>94596.73827442953</v>
      </c>
    </row>
    <row r="122" spans="1:5" ht="15.75">
      <c r="A122" s="40" t="s">
        <v>44</v>
      </c>
      <c r="B122" s="16"/>
      <c r="C122" s="54" t="s">
        <v>187</v>
      </c>
      <c r="D122" s="59" t="s">
        <v>172</v>
      </c>
      <c r="E122" s="58">
        <f>+E112+E121</f>
        <v>4312047.937350583</v>
      </c>
    </row>
    <row r="123" spans="1:5" ht="15.75">
      <c r="A123" s="40"/>
      <c r="B123" s="16"/>
      <c r="C123" s="54"/>
      <c r="D123" s="59"/>
      <c r="E123" s="45"/>
    </row>
    <row r="124" spans="1:5" ht="15.75">
      <c r="A124" s="93" t="s">
        <v>133</v>
      </c>
      <c r="B124" s="16"/>
      <c r="C124" s="54"/>
      <c r="D124" s="59"/>
      <c r="E124" s="45"/>
    </row>
    <row r="125" spans="1:5" ht="15.75">
      <c r="A125" s="40" t="s">
        <v>136</v>
      </c>
      <c r="B125" s="16"/>
      <c r="C125" s="54" t="s">
        <v>189</v>
      </c>
      <c r="D125" s="59" t="s">
        <v>173</v>
      </c>
      <c r="E125" s="58">
        <f>+E122*$E$11</f>
        <v>161443.07477440583</v>
      </c>
    </row>
    <row r="126" spans="1:5" ht="15.75">
      <c r="A126" s="40" t="s">
        <v>141</v>
      </c>
      <c r="B126" s="16"/>
      <c r="C126" s="54" t="s">
        <v>190</v>
      </c>
      <c r="D126" s="59" t="s">
        <v>174</v>
      </c>
      <c r="E126" s="58">
        <f>+E125*$E$9</f>
        <v>42782.41481521755</v>
      </c>
    </row>
    <row r="127" spans="1:5" ht="15.75">
      <c r="A127" s="40" t="s">
        <v>202</v>
      </c>
      <c r="B127" s="16"/>
      <c r="C127" s="54" t="s">
        <v>191</v>
      </c>
      <c r="D127" s="59" t="s">
        <v>175</v>
      </c>
      <c r="E127" s="58">
        <f>+E126/(1-$E$9)</f>
        <v>58207.36709553408</v>
      </c>
    </row>
    <row r="128" spans="1:5" ht="16.5" thickBot="1">
      <c r="A128" s="43"/>
      <c r="B128" s="44"/>
      <c r="C128" s="126"/>
      <c r="D128" s="60"/>
      <c r="E128" s="94"/>
    </row>
    <row r="131" ht="15.75">
      <c r="A131" s="1" t="s">
        <v>81</v>
      </c>
    </row>
    <row r="132" ht="15.75">
      <c r="A132" s="1" t="s">
        <v>82</v>
      </c>
    </row>
    <row r="133" ht="15.75">
      <c r="A133" s="1" t="s">
        <v>83</v>
      </c>
    </row>
    <row r="134" ht="15.75">
      <c r="A134" s="1" t="s">
        <v>101</v>
      </c>
    </row>
    <row r="135" ht="15.75">
      <c r="A135" s="1" t="s">
        <v>226</v>
      </c>
    </row>
    <row r="136" ht="15.75">
      <c r="A136" s="1" t="s">
        <v>227</v>
      </c>
    </row>
    <row r="137" ht="15.75">
      <c r="A137" s="127" t="s">
        <v>228</v>
      </c>
    </row>
  </sheetData>
  <sheetProtection/>
  <mergeCells count="2">
    <mergeCell ref="A1:E1"/>
    <mergeCell ref="G22:K23"/>
  </mergeCells>
  <printOptions gridLines="1" horizontalCentered="1"/>
  <pageMargins left="0.25" right="0.236220472440945" top="0.37" bottom="0.37" header="0.25" footer="0.24"/>
  <pageSetup fitToHeight="0" horizontalDpi="600" verticalDpi="600" orientation="landscape" paperSize="17" scale="60" r:id="rId4"/>
  <headerFooter alignWithMargins="0">
    <oddHeader>&amp;RDRAFT v3</oddHeader>
    <oddFooter>&amp;LHaldimand County Hydro Inc.
Page &amp;P of &amp;N&amp;C&amp;F
&amp;A&amp;RPrepared by: S. Graham
Re: 2014 Cost of Service Rate Application
Updated: March 4, 2014 with Interrogatory Responses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67">
      <selection activeCell="E67" sqref="E67"/>
    </sheetView>
  </sheetViews>
  <sheetFormatPr defaultColWidth="9.140625" defaultRowHeight="12.75"/>
  <cols>
    <col min="1" max="1" width="47.28125" style="0" bestFit="1" customWidth="1"/>
    <col min="2" max="2" width="14.00390625" style="0" bestFit="1" customWidth="1"/>
    <col min="3" max="3" width="18.421875" style="0" customWidth="1"/>
    <col min="4" max="4" width="18.140625" style="0" bestFit="1" customWidth="1"/>
    <col min="5" max="5" width="17.00390625" style="0" customWidth="1"/>
    <col min="6" max="6" width="19.140625" style="0" customWidth="1"/>
    <col min="7" max="7" width="17.57421875" style="0" customWidth="1"/>
    <col min="8" max="8" width="18.7109375" style="0" customWidth="1"/>
  </cols>
  <sheetData>
    <row r="1" ht="18.75">
      <c r="A1" s="81" t="s">
        <v>309</v>
      </c>
    </row>
    <row r="2" ht="15.75">
      <c r="A2" s="27" t="s">
        <v>307</v>
      </c>
    </row>
    <row r="4" spans="1:9" ht="12.75">
      <c r="A4" s="129"/>
      <c r="B4" s="129"/>
      <c r="C4" s="129"/>
      <c r="D4" s="129"/>
      <c r="E4" s="129"/>
      <c r="F4" s="129"/>
      <c r="G4" s="129"/>
      <c r="H4" s="129"/>
      <c r="I4" s="129"/>
    </row>
    <row r="5" spans="3:9" ht="12.75">
      <c r="C5" s="129"/>
      <c r="D5" s="129"/>
      <c r="E5" s="236" t="s">
        <v>308</v>
      </c>
      <c r="F5" s="236"/>
      <c r="G5" s="129"/>
      <c r="H5" s="129"/>
      <c r="I5" s="129"/>
    </row>
    <row r="6" spans="3:9" ht="12.75">
      <c r="C6" s="129"/>
      <c r="D6" s="129"/>
      <c r="E6" s="171" t="s">
        <v>239</v>
      </c>
      <c r="F6" s="171" t="s">
        <v>240</v>
      </c>
      <c r="G6" s="129"/>
      <c r="H6" s="129"/>
      <c r="I6" s="129"/>
    </row>
    <row r="7" spans="3:9" ht="12.75">
      <c r="C7" s="129"/>
      <c r="D7" s="192" t="s">
        <v>311</v>
      </c>
      <c r="E7" s="192">
        <f>313+31</f>
        <v>344</v>
      </c>
      <c r="F7" s="192">
        <v>313</v>
      </c>
      <c r="G7" s="129"/>
      <c r="H7" s="129"/>
      <c r="I7" s="129"/>
    </row>
    <row r="8" spans="3:9" ht="12.75">
      <c r="C8" s="129"/>
      <c r="D8" s="193" t="s">
        <v>241</v>
      </c>
      <c r="E8" s="193">
        <f>1558.7+90.8</f>
        <v>1649.5</v>
      </c>
      <c r="F8" s="192">
        <v>1558.7</v>
      </c>
      <c r="G8" s="129"/>
      <c r="H8" s="129"/>
      <c r="I8" s="129"/>
    </row>
    <row r="9" spans="3:9" ht="12.75">
      <c r="C9" s="129"/>
      <c r="D9" s="193" t="s">
        <v>242</v>
      </c>
      <c r="E9" s="193">
        <f>552.4+229</f>
        <v>781.4</v>
      </c>
      <c r="F9" s="192">
        <v>552.4</v>
      </c>
      <c r="G9" s="129"/>
      <c r="H9" s="129"/>
      <c r="I9" s="169"/>
    </row>
    <row r="10" spans="3:9" ht="14.25">
      <c r="C10" s="129"/>
      <c r="D10" s="129"/>
      <c r="E10" s="170"/>
      <c r="F10" s="129"/>
      <c r="G10" s="129"/>
      <c r="H10" s="129"/>
      <c r="I10" s="168"/>
    </row>
    <row r="12" spans="1:9" ht="56.25" customHeight="1">
      <c r="A12" s="129"/>
      <c r="B12" s="129"/>
      <c r="C12" s="144" t="s">
        <v>284</v>
      </c>
      <c r="D12" s="144" t="s">
        <v>283</v>
      </c>
      <c r="E12" s="158" t="s">
        <v>285</v>
      </c>
      <c r="F12" s="158" t="s">
        <v>243</v>
      </c>
      <c r="G12" s="129"/>
      <c r="H12" s="129"/>
      <c r="I12" s="129"/>
    </row>
    <row r="13" spans="1:9" ht="12.75">
      <c r="A13" s="129"/>
      <c r="B13" s="129" t="s">
        <v>281</v>
      </c>
      <c r="C13" s="194">
        <f>21493189-803696</f>
        <v>20689493</v>
      </c>
      <c r="D13" s="194">
        <f>9052374-192444</f>
        <v>8859930</v>
      </c>
      <c r="E13" s="175">
        <f>C13-D13</f>
        <v>11829563</v>
      </c>
      <c r="F13" s="169">
        <f>F7/F8</f>
        <v>0.20080836594598062</v>
      </c>
      <c r="G13" s="129"/>
      <c r="H13" s="129"/>
      <c r="I13" s="129"/>
    </row>
    <row r="14" spans="1:9" ht="12.75">
      <c r="A14" s="129"/>
      <c r="B14" s="129" t="s">
        <v>282</v>
      </c>
      <c r="C14" s="194">
        <f>13358577-210141</f>
        <v>13148436</v>
      </c>
      <c r="D14" s="194">
        <f>4019590-43959</f>
        <v>3975631</v>
      </c>
      <c r="E14" s="175">
        <f>C14-D14</f>
        <v>9172805</v>
      </c>
      <c r="F14" s="129"/>
      <c r="G14" s="129"/>
      <c r="H14" s="129"/>
      <c r="I14" s="129"/>
    </row>
    <row r="15" spans="1:6" ht="12.75">
      <c r="A15" s="129"/>
      <c r="B15" s="129"/>
      <c r="C15" s="172">
        <f>SUM(C13:C14)</f>
        <v>33837929</v>
      </c>
      <c r="D15" s="172">
        <f>SUM(D13:D14)</f>
        <v>12835561</v>
      </c>
      <c r="E15" s="176">
        <f>SUM(E13:E14)</f>
        <v>21002368</v>
      </c>
      <c r="F15" s="129"/>
    </row>
    <row r="16" spans="2:4" ht="12.75">
      <c r="B16" s="129" t="s">
        <v>281</v>
      </c>
      <c r="C16" s="225" t="s">
        <v>290</v>
      </c>
      <c r="D16" s="195">
        <v>283797</v>
      </c>
    </row>
    <row r="17" spans="1:6" ht="12.75">
      <c r="A17" s="129"/>
      <c r="B17" s="129" t="s">
        <v>282</v>
      </c>
      <c r="C17" s="226"/>
      <c r="D17" s="196">
        <v>212843</v>
      </c>
      <c r="E17" s="129"/>
      <c r="F17" s="129"/>
    </row>
    <row r="18" spans="1:6" ht="12.75">
      <c r="A18" s="129"/>
      <c r="B18" s="129"/>
      <c r="C18" s="180"/>
      <c r="D18" s="174">
        <f>SUM(D16:D17)</f>
        <v>496640</v>
      </c>
      <c r="E18" s="129"/>
      <c r="F18" s="129"/>
    </row>
    <row r="19" spans="1:6" ht="13.5" thickBot="1">
      <c r="A19" s="129"/>
      <c r="B19" s="129"/>
      <c r="C19" s="179"/>
      <c r="D19" s="173"/>
      <c r="E19" s="129"/>
      <c r="F19" s="129"/>
    </row>
    <row r="20" spans="1:6" ht="13.5" thickBot="1">
      <c r="A20" s="130">
        <v>1</v>
      </c>
      <c r="B20" s="131">
        <v>2</v>
      </c>
      <c r="C20" s="131">
        <v>3</v>
      </c>
      <c r="D20" s="131">
        <v>4</v>
      </c>
      <c r="E20" s="131">
        <v>5</v>
      </c>
      <c r="F20" s="131">
        <v>6</v>
      </c>
    </row>
    <row r="21" spans="1:6" ht="66" customHeight="1" thickBot="1">
      <c r="A21" s="132" t="s">
        <v>3</v>
      </c>
      <c r="B21" s="133" t="s">
        <v>19</v>
      </c>
      <c r="C21" s="133" t="s">
        <v>244</v>
      </c>
      <c r="D21" s="133" t="s">
        <v>6</v>
      </c>
      <c r="E21" s="133" t="s">
        <v>292</v>
      </c>
      <c r="F21" s="145" t="s">
        <v>8</v>
      </c>
    </row>
    <row r="22" spans="1:6" ht="13.5" thickBot="1">
      <c r="A22" s="132" t="s">
        <v>245</v>
      </c>
      <c r="B22" s="141"/>
      <c r="C22" s="141"/>
      <c r="D22" s="141"/>
      <c r="E22" s="141"/>
      <c r="F22" s="141"/>
    </row>
    <row r="23" spans="1:6" ht="13.5" thickBot="1">
      <c r="A23" s="132" t="s">
        <v>9</v>
      </c>
      <c r="B23" s="141"/>
      <c r="C23" s="141"/>
      <c r="D23" s="141"/>
      <c r="E23" s="141"/>
      <c r="F23" s="141"/>
    </row>
    <row r="24" spans="1:6" ht="13.5" thickBot="1">
      <c r="A24" s="132" t="s">
        <v>10</v>
      </c>
      <c r="B24" s="136">
        <f>C77</f>
        <v>433117.7731956117</v>
      </c>
      <c r="C24" s="136">
        <f>C15*F13</f>
        <v>6794939.22948611</v>
      </c>
      <c r="D24" s="136">
        <f>D15*F13</f>
        <v>2577488.030409957</v>
      </c>
      <c r="E24" s="136">
        <f>D18*F13</f>
        <v>99729.46686341181</v>
      </c>
      <c r="F24" s="137">
        <f>C24-D24</f>
        <v>4217451.199076153</v>
      </c>
    </row>
    <row r="25" spans="1:6" ht="13.5" thickBot="1">
      <c r="A25" s="227"/>
      <c r="B25" s="227"/>
      <c r="C25" s="227"/>
      <c r="D25" s="227"/>
      <c r="E25" s="227"/>
      <c r="F25" s="227"/>
    </row>
    <row r="26" spans="1:6" ht="13.5" thickBot="1">
      <c r="A26" s="228"/>
      <c r="B26" s="131">
        <v>7</v>
      </c>
      <c r="C26" s="131">
        <v>8</v>
      </c>
      <c r="D26" s="131">
        <v>9</v>
      </c>
      <c r="E26" s="131">
        <v>10</v>
      </c>
      <c r="F26" s="230">
        <v>11</v>
      </c>
    </row>
    <row r="27" spans="1:6" ht="13.5" thickBot="1">
      <c r="A27" s="228"/>
      <c r="B27" s="232" t="s">
        <v>11</v>
      </c>
      <c r="C27" s="233"/>
      <c r="D27" s="232" t="s">
        <v>11</v>
      </c>
      <c r="E27" s="233"/>
      <c r="F27" s="231"/>
    </row>
    <row r="28" spans="1:6" ht="13.5" thickBot="1">
      <c r="A28" s="229"/>
      <c r="B28" s="135" t="s">
        <v>246</v>
      </c>
      <c r="C28" s="135" t="s">
        <v>246</v>
      </c>
      <c r="D28" s="135" t="s">
        <v>12</v>
      </c>
      <c r="E28" s="135" t="s">
        <v>12</v>
      </c>
      <c r="F28" s="135" t="s">
        <v>0</v>
      </c>
    </row>
    <row r="29" spans="1:6" ht="55.5" customHeight="1" thickBot="1">
      <c r="A29" s="132" t="s">
        <v>3</v>
      </c>
      <c r="B29" s="133" t="s">
        <v>247</v>
      </c>
      <c r="C29" s="133" t="s">
        <v>248</v>
      </c>
      <c r="D29" s="133" t="s">
        <v>249</v>
      </c>
      <c r="E29" s="133" t="s">
        <v>250</v>
      </c>
      <c r="F29" s="133" t="s">
        <v>251</v>
      </c>
    </row>
    <row r="30" spans="1:6" ht="13.5" thickBot="1">
      <c r="A30" s="132" t="s">
        <v>245</v>
      </c>
      <c r="B30" s="141"/>
      <c r="C30" s="141"/>
      <c r="D30" s="141"/>
      <c r="E30" s="141"/>
      <c r="F30" s="141"/>
    </row>
    <row r="31" spans="1:6" ht="13.5" thickBot="1">
      <c r="A31" s="132" t="s">
        <v>9</v>
      </c>
      <c r="B31" s="141"/>
      <c r="C31" s="141"/>
      <c r="D31" s="141"/>
      <c r="E31" s="141"/>
      <c r="F31" s="141"/>
    </row>
    <row r="32" spans="1:7" ht="13.5" thickBot="1">
      <c r="A32" s="139" t="s">
        <v>10</v>
      </c>
      <c r="B32" s="143">
        <f>'Inputs HONI (Air Products)'!E108</f>
        <v>344</v>
      </c>
      <c r="C32" s="143">
        <f>'Inputs HONI (Air Products)'!E109</f>
        <v>5.4</v>
      </c>
      <c r="D32" s="186">
        <f>'Inputs HONI (Air Products)'!E104</f>
        <v>110605.1</v>
      </c>
      <c r="E32" s="187">
        <f>'Inputs HONI (Air Products)'!E105</f>
        <v>55057</v>
      </c>
      <c r="F32" s="191">
        <v>0.500835</v>
      </c>
      <c r="G32" s="77" t="s">
        <v>301</v>
      </c>
    </row>
    <row r="33" spans="1:10" ht="13.5" thickBot="1">
      <c r="A33" s="140"/>
      <c r="B33" s="141"/>
      <c r="C33" s="141"/>
      <c r="D33" s="141"/>
      <c r="E33" s="141"/>
      <c r="F33" s="141"/>
      <c r="G33" s="189" t="s">
        <v>302</v>
      </c>
      <c r="H33" s="129"/>
      <c r="I33" s="129"/>
      <c r="J33" s="129"/>
    </row>
    <row r="34" spans="1:10" ht="13.5" thickBot="1">
      <c r="A34" s="140"/>
      <c r="B34" s="141"/>
      <c r="C34" s="141"/>
      <c r="D34" s="141"/>
      <c r="E34" s="181"/>
      <c r="F34" s="141"/>
      <c r="G34" s="129"/>
      <c r="H34" s="129"/>
      <c r="I34" s="129"/>
      <c r="J34" s="129"/>
    </row>
    <row r="35" spans="1:10" ht="12.75">
      <c r="A35" s="222"/>
      <c r="B35" s="222"/>
      <c r="C35" s="222"/>
      <c r="D35" s="222"/>
      <c r="E35" s="222"/>
      <c r="F35" s="222"/>
      <c r="G35" s="142"/>
      <c r="H35" s="129"/>
      <c r="I35" s="129"/>
      <c r="J35" s="129"/>
    </row>
    <row r="37" spans="1:8" ht="12.75">
      <c r="A37" s="159" t="s">
        <v>252</v>
      </c>
      <c r="B37" s="129"/>
      <c r="C37" s="129"/>
      <c r="D37" s="129"/>
      <c r="E37" s="129"/>
      <c r="F37" s="129"/>
      <c r="G37" s="129"/>
      <c r="H37" s="129"/>
    </row>
    <row r="38" spans="1:10" ht="13.5" thickBo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3.5" thickBot="1">
      <c r="A39" s="151"/>
      <c r="B39" s="149" t="s">
        <v>15</v>
      </c>
      <c r="C39" s="149" t="s">
        <v>15</v>
      </c>
      <c r="D39" s="149" t="s">
        <v>15</v>
      </c>
      <c r="E39" s="149" t="s">
        <v>15</v>
      </c>
      <c r="F39" s="149" t="s">
        <v>15</v>
      </c>
      <c r="G39" s="149" t="s">
        <v>15</v>
      </c>
      <c r="H39" s="149" t="s">
        <v>15</v>
      </c>
      <c r="I39" s="129"/>
      <c r="J39" s="129"/>
    </row>
    <row r="40" spans="1:10" ht="72.75" thickBot="1">
      <c r="A40" s="132" t="s">
        <v>3</v>
      </c>
      <c r="B40" s="145" t="s">
        <v>253</v>
      </c>
      <c r="C40" s="145" t="s">
        <v>254</v>
      </c>
      <c r="D40" s="133" t="s">
        <v>255</v>
      </c>
      <c r="E40" s="145" t="s">
        <v>256</v>
      </c>
      <c r="F40" s="133" t="s">
        <v>17</v>
      </c>
      <c r="G40" s="133" t="s">
        <v>297</v>
      </c>
      <c r="H40" s="133" t="s">
        <v>298</v>
      </c>
      <c r="I40" s="129"/>
      <c r="J40" s="129"/>
    </row>
    <row r="41" spans="1:10" ht="13.5" thickBot="1">
      <c r="A41" s="132" t="s">
        <v>245</v>
      </c>
      <c r="B41" s="181"/>
      <c r="C41" s="181"/>
      <c r="D41" s="181"/>
      <c r="E41" s="181"/>
      <c r="F41" s="181"/>
      <c r="G41" s="181"/>
      <c r="H41" s="181"/>
      <c r="I41" s="146"/>
      <c r="J41" s="146"/>
    </row>
    <row r="42" spans="1:10" ht="13.5" thickBot="1">
      <c r="A42" s="132" t="s">
        <v>9</v>
      </c>
      <c r="B42" s="134"/>
      <c r="C42" s="134"/>
      <c r="D42" s="134"/>
      <c r="E42" s="136"/>
      <c r="F42" s="134"/>
      <c r="G42" s="134"/>
      <c r="H42" s="134"/>
      <c r="I42" s="147"/>
      <c r="J42" s="148"/>
    </row>
    <row r="43" spans="1:10" ht="13.5" thickBot="1">
      <c r="A43" s="132" t="s">
        <v>10</v>
      </c>
      <c r="B43" s="138">
        <f>(C13*$F$13)*($C$32/$B$32)*$F$32</f>
        <v>32663.41876931634</v>
      </c>
      <c r="C43" s="138">
        <f>(C14*$F$13)*($C$32/$B$32)*$F$32</f>
        <v>20758.01815102742</v>
      </c>
      <c r="D43" s="138">
        <f>(D15*$F$13)*($C$32/$B$32)*$F$32</f>
        <v>20264.06853382559</v>
      </c>
      <c r="E43" s="138">
        <f>(B43+C43)-D43</f>
        <v>33157.36838651817</v>
      </c>
      <c r="F43" s="138">
        <f>E24*($C$32/$B$32)*$F$32</f>
        <v>784.0675601665671</v>
      </c>
      <c r="G43" s="138">
        <f>(B24*(C32/B32)*F32)+G79</f>
        <v>6630.774262786917</v>
      </c>
      <c r="H43" s="188">
        <f>G43+G86+G88</f>
        <v>6630.774262786917</v>
      </c>
      <c r="I43" s="146"/>
      <c r="J43" s="146"/>
    </row>
    <row r="44" spans="1:10" ht="13.5" thickBot="1">
      <c r="A44" s="170" t="s">
        <v>299</v>
      </c>
      <c r="B44" s="138">
        <f>(D13*$F$13)*($C$32/$B$32)*$F$32</f>
        <v>13987.563825601184</v>
      </c>
      <c r="C44" s="138">
        <f>(D14*$F$13)*($C$32/$B$32)*$F$32</f>
        <v>6276.504708224406</v>
      </c>
      <c r="D44" s="129"/>
      <c r="E44" s="129"/>
      <c r="F44" s="129"/>
      <c r="G44" s="129"/>
      <c r="H44" s="190"/>
      <c r="I44" s="146"/>
      <c r="J44" s="146"/>
    </row>
    <row r="45" spans="1:10" ht="13.5" thickBot="1">
      <c r="A45" s="170" t="s">
        <v>300</v>
      </c>
      <c r="B45" s="138">
        <f>(D16*F13)*($C$32/$B$32)*$F$32</f>
        <v>448.04289097251774</v>
      </c>
      <c r="C45" s="138">
        <f>(D17*F13)*($C$32/$B$32)*$F$32</f>
        <v>336.0246691940493</v>
      </c>
      <c r="D45" s="129"/>
      <c r="E45" s="129"/>
      <c r="H45" s="146"/>
      <c r="I45" s="129"/>
      <c r="J45" s="129"/>
    </row>
    <row r="46" spans="9:10" ht="12.75">
      <c r="I46" s="129"/>
      <c r="J46" s="129"/>
    </row>
    <row r="47" spans="1:8" ht="12.75">
      <c r="A47" s="129"/>
      <c r="B47" s="129"/>
      <c r="C47" s="129"/>
      <c r="D47" s="129"/>
      <c r="E47" s="129"/>
      <c r="F47" s="153" t="s">
        <v>257</v>
      </c>
      <c r="G47" s="156">
        <f>B94</f>
        <v>2226420</v>
      </c>
      <c r="H47" s="146"/>
    </row>
    <row r="48" spans="1:8" ht="33.75">
      <c r="A48" s="129"/>
      <c r="B48" s="129"/>
      <c r="C48" s="129"/>
      <c r="D48" s="129"/>
      <c r="E48" s="129"/>
      <c r="F48" s="155" t="s">
        <v>322</v>
      </c>
      <c r="G48" s="129"/>
      <c r="H48" s="146"/>
    </row>
    <row r="49" spans="1:8" ht="26.25" customHeight="1">
      <c r="A49" s="129"/>
      <c r="B49" s="129"/>
      <c r="C49" s="129"/>
      <c r="D49" s="129"/>
      <c r="E49" s="129"/>
      <c r="F49" s="153" t="s">
        <v>258</v>
      </c>
      <c r="G49" s="156">
        <v>45696026</v>
      </c>
      <c r="H49" s="146"/>
    </row>
    <row r="50" spans="1:8" ht="22.5">
      <c r="A50" s="129"/>
      <c r="B50" s="129"/>
      <c r="C50" s="129"/>
      <c r="D50" s="129"/>
      <c r="E50" s="129"/>
      <c r="F50" s="155" t="s">
        <v>319</v>
      </c>
      <c r="H50" s="146"/>
    </row>
    <row r="51" spans="1:8" ht="39.75" customHeight="1">
      <c r="A51" s="129"/>
      <c r="B51" s="158" t="s">
        <v>312</v>
      </c>
      <c r="C51" s="165" t="s">
        <v>293</v>
      </c>
      <c r="D51" s="129"/>
      <c r="E51" s="129"/>
      <c r="F51" s="129"/>
      <c r="G51" s="129"/>
      <c r="H51" s="146"/>
    </row>
    <row r="52" spans="1:8" ht="24">
      <c r="A52" s="129"/>
      <c r="B52" s="129"/>
      <c r="C52" s="129"/>
      <c r="D52" s="129"/>
      <c r="E52" s="129"/>
      <c r="F52" s="154" t="s">
        <v>259</v>
      </c>
      <c r="G52" s="160">
        <f>G47/G49</f>
        <v>0.04872239874863517</v>
      </c>
      <c r="H52" s="146"/>
    </row>
    <row r="53" spans="1:8" ht="12.75">
      <c r="A53" s="129"/>
      <c r="B53" s="129"/>
      <c r="C53" s="129"/>
      <c r="D53" s="129"/>
      <c r="E53" s="129"/>
      <c r="F53" s="129"/>
      <c r="G53" s="129"/>
      <c r="H53" s="146"/>
    </row>
    <row r="54" spans="1:8" ht="12.75">
      <c r="A54" s="129"/>
      <c r="B54" s="129"/>
      <c r="C54" s="129"/>
      <c r="D54" s="129"/>
      <c r="E54" s="129"/>
      <c r="F54" s="129"/>
      <c r="G54" s="129"/>
      <c r="H54" s="146"/>
    </row>
    <row r="55" spans="1:8" ht="12.75">
      <c r="A55" s="129" t="s">
        <v>315</v>
      </c>
      <c r="B55" s="129"/>
      <c r="C55" s="129"/>
      <c r="D55" s="129"/>
      <c r="E55" s="129"/>
      <c r="F55" s="129"/>
      <c r="G55" s="129"/>
      <c r="H55" s="146"/>
    </row>
    <row r="56" spans="1:8" ht="12.75">
      <c r="A56" s="129" t="s">
        <v>260</v>
      </c>
      <c r="B56" s="152">
        <v>140772</v>
      </c>
      <c r="C56" s="152">
        <f aca="true" t="shared" si="0" ref="C56:C61">B56*$F$13</f>
        <v>28268.195290947584</v>
      </c>
      <c r="D56" s="129"/>
      <c r="E56" s="129"/>
      <c r="F56" s="129"/>
      <c r="G56" s="152">
        <f aca="true" t="shared" si="1" ref="G56:G61">(C56*($C$32/$B$32)*$F$32)</f>
        <v>222.24299005269003</v>
      </c>
      <c r="H56" s="146"/>
    </row>
    <row r="57" spans="1:8" ht="12.75">
      <c r="A57" s="129" t="s">
        <v>278</v>
      </c>
      <c r="B57" s="152">
        <v>0</v>
      </c>
      <c r="C57" s="152">
        <f t="shared" si="0"/>
        <v>0</v>
      </c>
      <c r="D57" s="129"/>
      <c r="E57" s="129"/>
      <c r="F57" s="129"/>
      <c r="G57" s="152">
        <f t="shared" si="1"/>
        <v>0</v>
      </c>
      <c r="H57" s="146"/>
    </row>
    <row r="58" spans="1:8" ht="12.75">
      <c r="A58" s="129" t="s">
        <v>279</v>
      </c>
      <c r="B58" s="152">
        <v>0</v>
      </c>
      <c r="C58" s="152">
        <f t="shared" si="0"/>
        <v>0</v>
      </c>
      <c r="D58" s="129"/>
      <c r="E58" s="129"/>
      <c r="F58" s="129"/>
      <c r="G58" s="152">
        <f t="shared" si="1"/>
        <v>0</v>
      </c>
      <c r="H58" s="146"/>
    </row>
    <row r="59" spans="1:8" ht="12.75">
      <c r="A59" s="129" t="s">
        <v>261</v>
      </c>
      <c r="B59" s="152">
        <v>488402</v>
      </c>
      <c r="C59" s="152">
        <f t="shared" si="0"/>
        <v>98075.20754474883</v>
      </c>
      <c r="D59" s="129"/>
      <c r="E59" s="129"/>
      <c r="F59" s="129"/>
      <c r="G59" s="152">
        <f t="shared" si="1"/>
        <v>771.0618647722126</v>
      </c>
      <c r="H59" s="129"/>
    </row>
    <row r="60" spans="1:8" ht="12.75">
      <c r="A60" s="129" t="s">
        <v>262</v>
      </c>
      <c r="B60" s="152">
        <v>712728</v>
      </c>
      <c r="C60" s="152">
        <f t="shared" si="0"/>
        <v>143121.74504394687</v>
      </c>
      <c r="D60" s="129"/>
      <c r="E60" s="129"/>
      <c r="F60" s="129"/>
      <c r="G60" s="152">
        <f t="shared" si="1"/>
        <v>1125.215254555406</v>
      </c>
      <c r="H60" s="129"/>
    </row>
    <row r="61" spans="1:8" ht="12.75">
      <c r="A61" s="129" t="s">
        <v>263</v>
      </c>
      <c r="B61" s="152">
        <v>385405</v>
      </c>
      <c r="C61" s="152">
        <f t="shared" si="0"/>
        <v>77392.54827741066</v>
      </c>
      <c r="D61" s="129"/>
      <c r="E61" s="129"/>
      <c r="F61" s="129"/>
      <c r="G61" s="152">
        <f t="shared" si="1"/>
        <v>608.4559399685804</v>
      </c>
      <c r="H61" s="129"/>
    </row>
    <row r="62" spans="1:8" ht="12.75">
      <c r="A62" s="129"/>
      <c r="B62" s="161">
        <f>SUM(B56:B61)</f>
        <v>1727307</v>
      </c>
      <c r="C62" s="162">
        <f>SUM(C56:C61)</f>
        <v>346857.6961570539</v>
      </c>
      <c r="D62" s="177"/>
      <c r="E62" s="129"/>
      <c r="F62" s="129"/>
      <c r="G62" s="162">
        <f>SUM(G56:G61)</f>
        <v>2726.9760493488893</v>
      </c>
      <c r="H62" s="129"/>
    </row>
    <row r="63" spans="1:8" ht="12.75">
      <c r="A63" s="129"/>
      <c r="B63" s="152"/>
      <c r="C63" s="129"/>
      <c r="D63" s="129"/>
      <c r="E63" s="129"/>
      <c r="F63" s="129"/>
      <c r="G63" s="129"/>
      <c r="H63" s="129"/>
    </row>
    <row r="64" spans="1:7" ht="12.75">
      <c r="A64" s="129" t="s">
        <v>316</v>
      </c>
      <c r="B64" s="157">
        <f>ROUND(B62/((1926274+2751043+1618934+69320)-B69),2)</f>
        <v>0.34</v>
      </c>
      <c r="C64" s="129"/>
      <c r="D64" s="129"/>
      <c r="E64" s="129"/>
      <c r="F64" s="129"/>
      <c r="G64" s="129"/>
    </row>
    <row r="65" spans="1:7" ht="12.75">
      <c r="A65" s="129"/>
      <c r="B65" s="152"/>
      <c r="C65" s="129"/>
      <c r="D65" s="129"/>
      <c r="E65" s="129"/>
      <c r="F65" s="129"/>
      <c r="G65" s="129"/>
    </row>
    <row r="66" spans="1:7" ht="12.75">
      <c r="A66" s="129" t="s">
        <v>264</v>
      </c>
      <c r="B66" s="152">
        <v>670136</v>
      </c>
      <c r="C66" s="129"/>
      <c r="D66" s="129"/>
      <c r="E66" s="129"/>
      <c r="F66" s="129"/>
      <c r="G66" s="129"/>
    </row>
    <row r="67" spans="1:7" ht="12.75">
      <c r="A67" s="129" t="s">
        <v>280</v>
      </c>
      <c r="B67" s="152">
        <v>447662</v>
      </c>
      <c r="C67" s="129"/>
      <c r="D67" s="129"/>
      <c r="E67" s="129"/>
      <c r="F67" s="129"/>
      <c r="G67" s="129"/>
    </row>
    <row r="68" spans="1:7" ht="12.75">
      <c r="A68" s="129" t="s">
        <v>265</v>
      </c>
      <c r="B68" s="152">
        <v>145626</v>
      </c>
      <c r="C68" s="129"/>
      <c r="D68" s="129"/>
      <c r="E68" s="129"/>
      <c r="F68" s="129"/>
      <c r="G68" s="129"/>
    </row>
    <row r="69" spans="1:7" ht="12.75">
      <c r="A69" s="129"/>
      <c r="B69" s="161">
        <f>SUM(B66:B68)</f>
        <v>1263424</v>
      </c>
      <c r="C69" s="129"/>
      <c r="D69" s="129"/>
      <c r="E69" s="129"/>
      <c r="F69" s="129"/>
      <c r="G69" s="129"/>
    </row>
    <row r="70" spans="1:7" ht="12.75">
      <c r="A70" s="129"/>
      <c r="B70" s="152"/>
      <c r="C70" s="129"/>
      <c r="D70" s="129"/>
      <c r="E70" s="129"/>
      <c r="F70" s="129"/>
      <c r="G70" s="129"/>
    </row>
    <row r="71" spans="1:7" ht="12.75">
      <c r="A71" s="129" t="s">
        <v>286</v>
      </c>
      <c r="B71" s="152"/>
      <c r="C71" s="129"/>
      <c r="D71" s="129"/>
      <c r="E71" s="129"/>
      <c r="F71" s="129"/>
      <c r="G71" s="129"/>
    </row>
    <row r="72" spans="1:7" ht="12.75">
      <c r="A72" s="129" t="s">
        <v>264</v>
      </c>
      <c r="B72" s="152">
        <f>B66*$B$64</f>
        <v>227846.24000000002</v>
      </c>
      <c r="C72" s="152">
        <f>B72*$F$13</f>
        <v>45753.43114133573</v>
      </c>
      <c r="D72" s="129"/>
      <c r="E72" s="129"/>
      <c r="F72" s="129"/>
      <c r="G72" s="152">
        <f>(C72*($C$32/$B$32)*$F$32)</f>
        <v>359.71094855413594</v>
      </c>
    </row>
    <row r="73" spans="1:7" ht="12.75">
      <c r="A73" s="129" t="s">
        <v>280</v>
      </c>
      <c r="B73" s="152">
        <f>B67*$B$64</f>
        <v>152205.08000000002</v>
      </c>
      <c r="C73" s="152">
        <f>B73*$F$13</f>
        <v>30564.053403477257</v>
      </c>
      <c r="D73" s="129"/>
      <c r="E73" s="129"/>
      <c r="F73" s="129"/>
      <c r="G73" s="152">
        <f>(C73*($C$32/$B$32)*$F$32)</f>
        <v>240.29289972728165</v>
      </c>
    </row>
    <row r="74" spans="1:7" ht="12.75">
      <c r="A74" s="129" t="s">
        <v>265</v>
      </c>
      <c r="B74" s="152">
        <f>B68*$B$64</f>
        <v>49512.840000000004</v>
      </c>
      <c r="C74" s="152">
        <f>B74*$F$13</f>
        <v>9942.592493744787</v>
      </c>
      <c r="D74" s="129"/>
      <c r="E74" s="129"/>
      <c r="F74" s="129"/>
      <c r="G74" s="152">
        <f>(C74*($C$32/$B$32)*$F$32)</f>
        <v>78.16811303100356</v>
      </c>
    </row>
    <row r="75" spans="1:7" ht="12.75">
      <c r="A75" s="129"/>
      <c r="B75" s="161">
        <f>SUM(B72:B74)</f>
        <v>429564.1600000001</v>
      </c>
      <c r="C75" s="162">
        <f>SUM(C72:C74)</f>
        <v>86260.07703855778</v>
      </c>
      <c r="D75" s="129"/>
      <c r="E75" s="129"/>
      <c r="F75" s="129"/>
      <c r="G75" s="162">
        <f>SUM(G72:G74)</f>
        <v>678.1719613124212</v>
      </c>
    </row>
    <row r="76" spans="1:7" ht="12.75">
      <c r="A76" s="129"/>
      <c r="B76" s="152"/>
      <c r="C76" s="129"/>
      <c r="D76" s="129"/>
      <c r="E76" s="129"/>
      <c r="F76" s="129"/>
      <c r="G76" s="129"/>
    </row>
    <row r="77" spans="1:7" ht="27.75" customHeight="1" thickBot="1">
      <c r="A77" s="158" t="s">
        <v>317</v>
      </c>
      <c r="B77" s="164">
        <f>B75+B62</f>
        <v>2156871.16</v>
      </c>
      <c r="C77" s="164">
        <f>C75+C62</f>
        <v>433117.7731956117</v>
      </c>
      <c r="D77" s="129"/>
      <c r="E77" s="129"/>
      <c r="F77" s="129" t="s">
        <v>291</v>
      </c>
      <c r="G77" s="152">
        <f>G75+G62</f>
        <v>3405.1480106613108</v>
      </c>
    </row>
    <row r="78" spans="1:7" ht="12.75">
      <c r="A78" s="129"/>
      <c r="B78" s="152"/>
      <c r="C78" s="129"/>
      <c r="D78" s="129"/>
      <c r="E78" s="129"/>
      <c r="F78" s="129"/>
      <c r="G78" s="129"/>
    </row>
    <row r="79" spans="1:7" ht="12.75">
      <c r="A79" s="129"/>
      <c r="B79" s="129"/>
      <c r="C79" s="129"/>
      <c r="D79" s="129"/>
      <c r="E79" s="129"/>
      <c r="F79" s="129" t="s">
        <v>257</v>
      </c>
      <c r="G79" s="152">
        <f>(G52*(F24*(C32/B32)))</f>
        <v>3225.626252125606</v>
      </c>
    </row>
    <row r="81" spans="1:7" ht="13.5" thickBot="1">
      <c r="A81" s="129"/>
      <c r="B81" s="129"/>
      <c r="C81" s="129"/>
      <c r="D81" s="129"/>
      <c r="E81" s="129"/>
      <c r="F81" s="129"/>
      <c r="G81" s="163">
        <f>SUM(G77:G79)</f>
        <v>6630.774262786917</v>
      </c>
    </row>
    <row r="82" spans="1:6" ht="12.75">
      <c r="A82" s="129" t="s">
        <v>318</v>
      </c>
      <c r="B82" s="129"/>
      <c r="C82" s="129"/>
      <c r="D82" s="129"/>
      <c r="E82" s="129"/>
      <c r="F82" s="129"/>
    </row>
    <row r="83" spans="1:6" ht="51">
      <c r="A83" s="129"/>
      <c r="B83" s="129" t="s">
        <v>266</v>
      </c>
      <c r="C83" s="129" t="s">
        <v>267</v>
      </c>
      <c r="D83" s="158" t="s">
        <v>268</v>
      </c>
      <c r="E83" s="129"/>
      <c r="F83" s="158" t="s">
        <v>294</v>
      </c>
    </row>
    <row r="84" spans="1:7" ht="12.75">
      <c r="A84" s="129" t="s">
        <v>323</v>
      </c>
      <c r="B84" s="152">
        <v>83421</v>
      </c>
      <c r="C84" s="166">
        <f>ROUND(B84/$B$94,2)</f>
        <v>0.04</v>
      </c>
      <c r="D84" s="152">
        <f>ROUND(C84*$G$79,2)</f>
        <v>129.03</v>
      </c>
      <c r="E84" s="129"/>
      <c r="F84" s="129" t="s">
        <v>280</v>
      </c>
      <c r="G84" s="184"/>
    </row>
    <row r="85" spans="1:7" ht="12.75">
      <c r="A85" s="129" t="s">
        <v>269</v>
      </c>
      <c r="B85" s="152">
        <v>722027</v>
      </c>
      <c r="C85" s="166">
        <f>ROUND(B85/$B$94,2)+0.01</f>
        <v>0.33</v>
      </c>
      <c r="D85" s="152">
        <f>ROUND(C85*$G$79,2)</f>
        <v>1064.46</v>
      </c>
      <c r="E85" s="129"/>
      <c r="F85" s="129" t="s">
        <v>280</v>
      </c>
      <c r="G85" s="184"/>
    </row>
    <row r="86" spans="1:7" ht="13.5" thickBot="1">
      <c r="A86" s="129" t="s">
        <v>270</v>
      </c>
      <c r="B86" s="152">
        <v>635672</v>
      </c>
      <c r="C86" s="166">
        <f>ROUND(B86/$B$94,2)</f>
        <v>0.29</v>
      </c>
      <c r="D86" s="152">
        <f aca="true" t="shared" si="2" ref="D86:D93">ROUND(C86*$G$79,2)</f>
        <v>935.43</v>
      </c>
      <c r="E86" s="129"/>
      <c r="F86" s="129"/>
      <c r="G86" s="185">
        <f>SUM(G84:G85)</f>
        <v>0</v>
      </c>
    </row>
    <row r="87" spans="1:6" ht="12.75">
      <c r="A87" s="129" t="s">
        <v>271</v>
      </c>
      <c r="B87" s="152">
        <v>137853</v>
      </c>
      <c r="C87" s="166">
        <f aca="true" t="shared" si="3" ref="C87:C92">ROUND(B87/$B$94,2)</f>
        <v>0.06</v>
      </c>
      <c r="D87" s="152">
        <f t="shared" si="2"/>
        <v>193.54</v>
      </c>
      <c r="E87" s="129"/>
      <c r="F87" s="129"/>
    </row>
    <row r="88" spans="1:7" ht="13.5" thickBot="1">
      <c r="A88" s="129" t="s">
        <v>272</v>
      </c>
      <c r="B88" s="152">
        <v>454250</v>
      </c>
      <c r="C88" s="166">
        <f t="shared" si="3"/>
        <v>0.2</v>
      </c>
      <c r="D88" s="152">
        <f t="shared" si="2"/>
        <v>645.13</v>
      </c>
      <c r="E88" s="129"/>
      <c r="F88" s="129" t="s">
        <v>296</v>
      </c>
      <c r="G88" s="182"/>
    </row>
    <row r="89" spans="1:5" ht="12.75">
      <c r="A89" s="129" t="s">
        <v>273</v>
      </c>
      <c r="B89" s="152">
        <v>23342</v>
      </c>
      <c r="C89" s="166">
        <f t="shared" si="3"/>
        <v>0.01</v>
      </c>
      <c r="D89" s="152">
        <f t="shared" si="2"/>
        <v>32.26</v>
      </c>
      <c r="E89" s="129"/>
    </row>
    <row r="90" spans="1:6" ht="12.75">
      <c r="A90" s="129" t="s">
        <v>274</v>
      </c>
      <c r="B90" s="152">
        <v>120245</v>
      </c>
      <c r="C90" s="166">
        <f t="shared" si="3"/>
        <v>0.05</v>
      </c>
      <c r="D90" s="152">
        <f t="shared" si="2"/>
        <v>161.28</v>
      </c>
      <c r="E90" s="129"/>
      <c r="F90" s="129"/>
    </row>
    <row r="91" spans="1:6" ht="12.75">
      <c r="A91" s="129" t="s">
        <v>275</v>
      </c>
      <c r="B91" s="152">
        <v>1500</v>
      </c>
      <c r="C91" s="166">
        <f t="shared" si="3"/>
        <v>0</v>
      </c>
      <c r="D91" s="152">
        <f t="shared" si="2"/>
        <v>0</v>
      </c>
      <c r="E91" s="129"/>
      <c r="F91" s="129"/>
    </row>
    <row r="92" spans="1:6" ht="12.75">
      <c r="A92" s="129" t="s">
        <v>276</v>
      </c>
      <c r="B92" s="152">
        <v>48110</v>
      </c>
      <c r="C92" s="166">
        <f t="shared" si="3"/>
        <v>0.02</v>
      </c>
      <c r="D92" s="152">
        <f t="shared" si="2"/>
        <v>64.51</v>
      </c>
      <c r="E92" s="129"/>
      <c r="F92" s="129"/>
    </row>
    <row r="93" spans="1:6" ht="12.75">
      <c r="A93" s="129" t="s">
        <v>287</v>
      </c>
      <c r="B93" s="152"/>
      <c r="C93" s="166"/>
      <c r="D93" s="152">
        <f t="shared" si="2"/>
        <v>0</v>
      </c>
      <c r="E93" s="234" t="s">
        <v>277</v>
      </c>
      <c r="F93" s="234"/>
    </row>
    <row r="94" spans="1:6" ht="12.75">
      <c r="A94" s="129"/>
      <c r="B94" s="161">
        <f>SUM(B84:B93)</f>
        <v>2226420</v>
      </c>
      <c r="C94" s="167">
        <f>SUM(C84:C93)</f>
        <v>1</v>
      </c>
      <c r="D94" s="162">
        <f>SUM(D84:D93)</f>
        <v>3225.640000000001</v>
      </c>
      <c r="E94" s="235"/>
      <c r="F94" s="235"/>
    </row>
  </sheetData>
  <sheetProtection/>
  <mergeCells count="9">
    <mergeCell ref="E5:F5"/>
    <mergeCell ref="A35:F35"/>
    <mergeCell ref="E93:F94"/>
    <mergeCell ref="C16:C17"/>
    <mergeCell ref="A25:F25"/>
    <mergeCell ref="A26:A28"/>
    <mergeCell ref="F26:F27"/>
    <mergeCell ref="B27:C27"/>
    <mergeCell ref="D27:E27"/>
  </mergeCells>
  <printOptions gridLines="1" horizontalCentered="1"/>
  <pageMargins left="0.25" right="0.236220472440945" top="0.37" bottom="0.37" header="0.25" footer="0.24"/>
  <pageSetup fitToHeight="0" horizontalDpi="600" verticalDpi="600" orientation="landscape" paperSize="17" scale="90" r:id="rId3"/>
  <headerFooter alignWithMargins="0">
    <oddHeader>&amp;RDRAFT v3</oddHeader>
    <oddFooter>&amp;LHaldimand County Hydro Inc.
Page &amp;P of &amp;N&amp;C&amp;F
&amp;A&amp;RPrepared by: S. Graham
Re: 2014 Cost of Service Rate Application
Updated: March 4, 2014 with Interrogatory Responses</oddFooter>
  </headerFooter>
  <rowBreaks count="1" manualBreakCount="1">
    <brk id="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Sherry Graham</cp:lastModifiedBy>
  <cp:lastPrinted>2014-03-04T13:59:58Z</cp:lastPrinted>
  <dcterms:created xsi:type="dcterms:W3CDTF">2008-07-03T17:34:50Z</dcterms:created>
  <dcterms:modified xsi:type="dcterms:W3CDTF">2014-03-26T20:56:56Z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