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" windowWidth="15195" windowHeight="9555" tabRatio="659" firstSheet="8" activeTab="12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Settlement Tables" sheetId="35" r:id="rId11"/>
    <sheet name="2013 COP Forecast Feb 2014" sheetId="33" r:id="rId12"/>
    <sheet name="2014 COP Forecast Feb 2014" sheetId="3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G45" i="35" l="1"/>
  <c r="F45" i="35" s="1"/>
  <c r="G44" i="35"/>
  <c r="F44" i="35" s="1"/>
  <c r="G43" i="35"/>
  <c r="F43" i="35" s="1"/>
  <c r="G40" i="35"/>
  <c r="F40" i="35" s="1"/>
  <c r="G39" i="35"/>
  <c r="F39" i="35" s="1"/>
  <c r="G38" i="35"/>
  <c r="F38" i="35" s="1"/>
  <c r="G35" i="35"/>
  <c r="F35" i="35" s="1"/>
  <c r="G34" i="35"/>
  <c r="F34" i="35" s="1"/>
  <c r="G31" i="35"/>
  <c r="F31" i="35" s="1"/>
  <c r="G30" i="35"/>
  <c r="F30" i="35" s="1"/>
  <c r="G29" i="35"/>
  <c r="F29" i="35" s="1"/>
  <c r="G26" i="35"/>
  <c r="G25" i="35"/>
  <c r="G24" i="35"/>
  <c r="G21" i="35"/>
  <c r="F21" i="35" s="1"/>
  <c r="G20" i="35"/>
  <c r="F20" i="35" s="1"/>
  <c r="G19" i="35"/>
  <c r="F19" i="35" s="1"/>
  <c r="G16" i="35"/>
  <c r="F16" i="35" s="1"/>
  <c r="G15" i="35"/>
  <c r="F15" i="35" s="1"/>
  <c r="G14" i="35"/>
  <c r="F14" i="35" s="1"/>
  <c r="G11" i="35"/>
  <c r="F11" i="35" s="1"/>
  <c r="G10" i="35"/>
  <c r="F10" i="35" s="1"/>
  <c r="G7" i="35"/>
  <c r="F7" i="35" s="1"/>
  <c r="G6" i="35"/>
  <c r="F6" i="35" s="1"/>
  <c r="E26" i="35"/>
  <c r="E49" i="35"/>
  <c r="E25" i="35"/>
  <c r="E48" i="35" s="1"/>
  <c r="E24" i="35"/>
  <c r="E47" i="35" s="1"/>
  <c r="F24" i="35" l="1"/>
  <c r="F25" i="35"/>
  <c r="F26" i="35"/>
  <c r="G47" i="35"/>
  <c r="F47" i="35" s="1"/>
  <c r="G48" i="35"/>
  <c r="F48" i="35" s="1"/>
  <c r="G49" i="35"/>
  <c r="F49" i="35" s="1"/>
  <c r="F11" i="26"/>
  <c r="F10" i="26"/>
  <c r="D85" i="34" l="1"/>
  <c r="D84" i="34"/>
  <c r="D83" i="34"/>
  <c r="D82" i="34"/>
  <c r="D81" i="34"/>
  <c r="D80" i="34"/>
  <c r="D79" i="34"/>
  <c r="D78" i="34"/>
  <c r="D61" i="34"/>
  <c r="D60" i="34"/>
  <c r="D59" i="34"/>
  <c r="D58" i="34"/>
  <c r="D57" i="34"/>
  <c r="D56" i="34"/>
  <c r="D55" i="34"/>
  <c r="D54" i="34"/>
  <c r="F37" i="34"/>
  <c r="D37" i="34"/>
  <c r="F36" i="34"/>
  <c r="D36" i="34"/>
  <c r="F35" i="34"/>
  <c r="D35" i="34"/>
  <c r="J34" i="34"/>
  <c r="F34" i="34"/>
  <c r="D34" i="34"/>
  <c r="F33" i="34"/>
  <c r="D33" i="34"/>
  <c r="F32" i="34"/>
  <c r="D32" i="34"/>
  <c r="F31" i="34"/>
  <c r="D31" i="34"/>
  <c r="D30" i="34"/>
  <c r="F25" i="34"/>
  <c r="F24" i="34"/>
  <c r="F23" i="34"/>
  <c r="F22" i="34"/>
  <c r="F21" i="34"/>
  <c r="F20" i="34"/>
  <c r="F19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2" i="34"/>
  <c r="B34" i="34" s="1"/>
  <c r="B46" i="34" s="1"/>
  <c r="B58" i="34" s="1"/>
  <c r="B70" i="34" s="1"/>
  <c r="B82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I6" i="34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0" i="33"/>
  <c r="D59" i="33"/>
  <c r="D58" i="33"/>
  <c r="D57" i="33"/>
  <c r="D56" i="33"/>
  <c r="D55" i="33"/>
  <c r="D54" i="33"/>
  <c r="D53" i="33"/>
  <c r="F36" i="33"/>
  <c r="D36" i="33"/>
  <c r="F35" i="33"/>
  <c r="D35" i="33"/>
  <c r="F34" i="33"/>
  <c r="D34" i="33"/>
  <c r="F33" i="33"/>
  <c r="D33" i="33"/>
  <c r="F32" i="33"/>
  <c r="D32" i="33"/>
  <c r="F31" i="33"/>
  <c r="D31" i="33"/>
  <c r="J30" i="33"/>
  <c r="F30" i="33"/>
  <c r="D30" i="33"/>
  <c r="D29" i="33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2" i="33"/>
  <c r="B34" i="33" s="1"/>
  <c r="B46" i="33" s="1"/>
  <c r="B58" i="33" s="1"/>
  <c r="B70" i="33" s="1"/>
  <c r="B82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B17" i="33"/>
  <c r="B29" i="33" s="1"/>
  <c r="B41" i="33" s="1"/>
  <c r="B53" i="33" s="1"/>
  <c r="B65" i="33" s="1"/>
  <c r="B77" i="33" s="1"/>
  <c r="I8" i="34" l="1"/>
  <c r="I11" i="34"/>
  <c r="I10" i="34"/>
  <c r="I5" i="34"/>
  <c r="I9" i="34"/>
  <c r="I7" i="34"/>
  <c r="F9" i="26"/>
  <c r="F8" i="26"/>
  <c r="R8" i="26"/>
  <c r="R7" i="26"/>
  <c r="S7" i="26"/>
  <c r="Q7" i="26"/>
  <c r="D3" i="26"/>
  <c r="E3" i="26" s="1"/>
  <c r="F3" i="26" l="1"/>
  <c r="G3" i="26" s="1"/>
  <c r="D385" i="30" l="1"/>
  <c r="D393" i="30" s="1"/>
  <c r="D378" i="30"/>
  <c r="A379" i="30"/>
  <c r="A380" i="30"/>
  <c r="A378" i="30"/>
  <c r="A377" i="30"/>
  <c r="D374" i="30"/>
  <c r="D369" i="30"/>
  <c r="A369" i="30"/>
  <c r="F363" i="30"/>
  <c r="G363" i="30"/>
  <c r="H363" i="30"/>
  <c r="I363" i="30"/>
  <c r="E363" i="30"/>
  <c r="D359" i="30"/>
  <c r="A359" i="30"/>
  <c r="A364" i="30" s="1"/>
  <c r="A354" i="30"/>
  <c r="D354" i="30"/>
  <c r="K345" i="30"/>
  <c r="D349" i="30"/>
  <c r="D345" i="30"/>
  <c r="J324" i="30"/>
  <c r="G298" i="30"/>
  <c r="I298" i="30"/>
  <c r="G299" i="30"/>
  <c r="I299" i="30"/>
  <c r="I300" i="30"/>
  <c r="I301" i="30"/>
  <c r="I302" i="30"/>
  <c r="I297" i="30"/>
  <c r="F297" i="30"/>
  <c r="G297" i="30"/>
  <c r="H297" i="30"/>
  <c r="L288" i="30"/>
  <c r="L289" i="30"/>
  <c r="J269" i="30"/>
  <c r="J270" i="30"/>
  <c r="K270" i="30"/>
  <c r="J271" i="30"/>
  <c r="K271" i="30"/>
  <c r="L271" i="30"/>
  <c r="K268" i="30"/>
  <c r="L268" i="30"/>
  <c r="M268" i="30"/>
  <c r="J268" i="30"/>
  <c r="B260" i="30"/>
  <c r="G255" i="30"/>
  <c r="H255" i="30"/>
  <c r="I255" i="30"/>
  <c r="J255" i="30"/>
  <c r="K255" i="30"/>
  <c r="L255" i="30"/>
  <c r="F255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O189" i="30"/>
  <c r="O190" i="30"/>
  <c r="O191" i="30"/>
  <c r="O188" i="30"/>
  <c r="L180" i="30" l="1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I180" i="30"/>
  <c r="I181" i="30"/>
  <c r="I182" i="30"/>
  <c r="D172" i="30"/>
  <c r="D173" i="30"/>
  <c r="D174" i="30"/>
  <c r="D175" i="30"/>
  <c r="D176" i="30"/>
  <c r="D177" i="30"/>
  <c r="D178" i="30"/>
  <c r="D179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R29" i="32"/>
  <c r="R30" i="32"/>
  <c r="R31" i="32"/>
  <c r="R32" i="32"/>
  <c r="R33" i="32"/>
  <c r="R34" i="32"/>
  <c r="R35" i="32"/>
  <c r="R36" i="32"/>
  <c r="R37" i="32"/>
  <c r="R38" i="32"/>
  <c r="R39" i="32"/>
  <c r="R9" i="32"/>
  <c r="R10" i="32"/>
  <c r="R11" i="32"/>
  <c r="R12" i="32"/>
  <c r="R13" i="32"/>
  <c r="R14" i="32"/>
  <c r="R15" i="32"/>
  <c r="R16" i="32"/>
  <c r="R17" i="32"/>
  <c r="R18" i="32"/>
  <c r="R19" i="32"/>
  <c r="R8" i="32"/>
  <c r="R28" i="32"/>
  <c r="Q29" i="32"/>
  <c r="Q30" i="32"/>
  <c r="Q31" i="32"/>
  <c r="Q32" i="32"/>
  <c r="Q33" i="32"/>
  <c r="Q34" i="32"/>
  <c r="Q35" i="32"/>
  <c r="Q36" i="32"/>
  <c r="Q37" i="32"/>
  <c r="Q38" i="32"/>
  <c r="Q39" i="32"/>
  <c r="Q9" i="32"/>
  <c r="Q10" i="32"/>
  <c r="Q11" i="32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32" i="32"/>
  <c r="P33" i="32"/>
  <c r="P34" i="32"/>
  <c r="P35" i="32"/>
  <c r="P36" i="32"/>
  <c r="P37" i="32"/>
  <c r="P38" i="32"/>
  <c r="P39" i="32"/>
  <c r="P9" i="32"/>
  <c r="P10" i="32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33" i="32"/>
  <c r="O34" i="32"/>
  <c r="O35" i="32"/>
  <c r="O36" i="32"/>
  <c r="O37" i="32"/>
  <c r="O38" i="32"/>
  <c r="O39" i="32"/>
  <c r="O9" i="32"/>
  <c r="O10" i="32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37" i="32"/>
  <c r="N38" i="32"/>
  <c r="N39" i="32"/>
  <c r="N9" i="32"/>
  <c r="N10" i="32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32" i="32"/>
  <c r="M33" i="32"/>
  <c r="M34" i="32"/>
  <c r="M35" i="32"/>
  <c r="M36" i="32"/>
  <c r="M37" i="32"/>
  <c r="M38" i="32"/>
  <c r="M39" i="32"/>
  <c r="M9" i="32"/>
  <c r="M10" i="32"/>
  <c r="M11" i="32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1" i="32" s="1"/>
  <c r="K28" i="32"/>
  <c r="J29" i="32"/>
  <c r="J30" i="32"/>
  <c r="J31" i="32"/>
  <c r="J32" i="32"/>
  <c r="J33" i="32"/>
  <c r="J34" i="32"/>
  <c r="J35" i="32"/>
  <c r="J36" i="32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12" i="32"/>
  <c r="H13" i="32"/>
  <c r="H14" i="32"/>
  <c r="H15" i="32"/>
  <c r="H16" i="32"/>
  <c r="H17" i="32"/>
  <c r="H18" i="32"/>
  <c r="H19" i="32"/>
  <c r="H8" i="32"/>
  <c r="H28" i="32"/>
  <c r="G29" i="32"/>
  <c r="G30" i="32"/>
  <c r="G31" i="32"/>
  <c r="G32" i="32"/>
  <c r="G33" i="32"/>
  <c r="G34" i="32"/>
  <c r="G35" i="32"/>
  <c r="G36" i="32"/>
  <c r="G37" i="32"/>
  <c r="G38" i="32"/>
  <c r="G39" i="32"/>
  <c r="G9" i="32"/>
  <c r="G10" i="32"/>
  <c r="G11" i="32"/>
  <c r="G12" i="32"/>
  <c r="G13" i="32"/>
  <c r="G14" i="32"/>
  <c r="G15" i="32"/>
  <c r="G16" i="32"/>
  <c r="G17" i="32"/>
  <c r="G18" i="32"/>
  <c r="G19" i="32"/>
  <c r="G8" i="32"/>
  <c r="G28" i="32"/>
  <c r="F29" i="32"/>
  <c r="F41" i="32" s="1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17" i="32"/>
  <c r="F18" i="32"/>
  <c r="F19" i="32"/>
  <c r="F8" i="32"/>
  <c r="F28" i="32"/>
  <c r="E29" i="32"/>
  <c r="E30" i="32"/>
  <c r="E31" i="32"/>
  <c r="E32" i="32"/>
  <c r="E33" i="32"/>
  <c r="E34" i="32"/>
  <c r="E35" i="32"/>
  <c r="E36" i="32"/>
  <c r="E37" i="32"/>
  <c r="E38" i="32"/>
  <c r="E39" i="32"/>
  <c r="E9" i="32"/>
  <c r="E10" i="32"/>
  <c r="E11" i="32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11" i="32"/>
  <c r="D12" i="32"/>
  <c r="D13" i="32"/>
  <c r="D14" i="32"/>
  <c r="D15" i="32"/>
  <c r="D16" i="32"/>
  <c r="D17" i="32"/>
  <c r="D18" i="32"/>
  <c r="D19" i="32"/>
  <c r="D28" i="32"/>
  <c r="D41" i="32" s="1"/>
  <c r="D8" i="32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31" i="32"/>
  <c r="C32" i="32"/>
  <c r="C33" i="32"/>
  <c r="C34" i="32"/>
  <c r="C35" i="32"/>
  <c r="C36" i="32"/>
  <c r="C37" i="32"/>
  <c r="C38" i="32"/>
  <c r="C39" i="32"/>
  <c r="C28" i="32"/>
  <c r="C9" i="32"/>
  <c r="C21" i="32" s="1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J21" i="32"/>
  <c r="P5" i="32"/>
  <c r="O5" i="32"/>
  <c r="N5" i="32"/>
  <c r="M5" i="32"/>
  <c r="L5" i="32"/>
  <c r="K5" i="32"/>
  <c r="J5" i="32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O38" i="7" s="1"/>
  <c r="P38" i="7" s="1"/>
  <c r="Q38" i="7" s="1"/>
  <c r="N37" i="7"/>
  <c r="O37" i="7" s="1"/>
  <c r="P37" i="7" s="1"/>
  <c r="Q37" i="7" s="1"/>
  <c r="N36" i="7"/>
  <c r="O36" i="7" s="1"/>
  <c r="P36" i="7" s="1"/>
  <c r="Q36" i="7" s="1"/>
  <c r="N35" i="7"/>
  <c r="O35" i="7" s="1"/>
  <c r="P35" i="7" s="1"/>
  <c r="Q35" i="7" s="1"/>
  <c r="N34" i="7"/>
  <c r="O34" i="7" s="1"/>
  <c r="P34" i="7" s="1"/>
  <c r="Q34" i="7" s="1"/>
  <c r="N33" i="7"/>
  <c r="O33" i="7" s="1"/>
  <c r="P33" i="7" s="1"/>
  <c r="Q33" i="7" s="1"/>
  <c r="N32" i="7"/>
  <c r="O32" i="7" s="1"/>
  <c r="P32" i="7" s="1"/>
  <c r="Q32" i="7" s="1"/>
  <c r="N31" i="7"/>
  <c r="O31" i="7" s="1"/>
  <c r="P31" i="7" s="1"/>
  <c r="Q31" i="7" s="1"/>
  <c r="N30" i="7"/>
  <c r="O30" i="7" s="1"/>
  <c r="P30" i="7" s="1"/>
  <c r="Q30" i="7" s="1"/>
  <c r="N29" i="7"/>
  <c r="O29" i="7" s="1"/>
  <c r="P29" i="7" s="1"/>
  <c r="Q29" i="7" s="1"/>
  <c r="N28" i="7"/>
  <c r="O28" i="7" s="1"/>
  <c r="P28" i="7" s="1"/>
  <c r="Q28" i="7" s="1"/>
  <c r="N27" i="7"/>
  <c r="O27" i="7" s="1"/>
  <c r="P27" i="7" s="1"/>
  <c r="Q27" i="7" s="1"/>
  <c r="N26" i="7"/>
  <c r="O26" i="7" s="1"/>
  <c r="P26" i="7" s="1"/>
  <c r="Q26" i="7" s="1"/>
  <c r="N25" i="7"/>
  <c r="O25" i="7" s="1"/>
  <c r="P25" i="7" s="1"/>
  <c r="Q25" i="7" s="1"/>
  <c r="N24" i="7"/>
  <c r="O24" i="7" s="1"/>
  <c r="P24" i="7" s="1"/>
  <c r="Q24" i="7" s="1"/>
  <c r="N23" i="7"/>
  <c r="O23" i="7" s="1"/>
  <c r="P23" i="7" s="1"/>
  <c r="Q23" i="7" s="1"/>
  <c r="N22" i="7"/>
  <c r="O22" i="7" s="1"/>
  <c r="P22" i="7" s="1"/>
  <c r="Q22" i="7" s="1"/>
  <c r="N21" i="7"/>
  <c r="O21" i="7" s="1"/>
  <c r="P21" i="7" s="1"/>
  <c r="Q21" i="7" s="1"/>
  <c r="N20" i="7"/>
  <c r="O20" i="7" s="1"/>
  <c r="P20" i="7" s="1"/>
  <c r="Q20" i="7" s="1"/>
  <c r="N19" i="7"/>
  <c r="O19" i="7" s="1"/>
  <c r="P19" i="7" s="1"/>
  <c r="Q19" i="7" s="1"/>
  <c r="N18" i="7"/>
  <c r="O18" i="7" s="1"/>
  <c r="P18" i="7" s="1"/>
  <c r="Q18" i="7" s="1"/>
  <c r="N17" i="7"/>
  <c r="O17" i="7" s="1"/>
  <c r="P17" i="7" s="1"/>
  <c r="Q17" i="7" s="1"/>
  <c r="N16" i="7"/>
  <c r="O16" i="7" s="1"/>
  <c r="P16" i="7" s="1"/>
  <c r="Q16" i="7" s="1"/>
  <c r="N15" i="7"/>
  <c r="O15" i="7" s="1"/>
  <c r="P15" i="7" s="1"/>
  <c r="Q15" i="7" s="1"/>
  <c r="N14" i="7"/>
  <c r="O14" i="7" s="1"/>
  <c r="P14" i="7" s="1"/>
  <c r="Q14" i="7" s="1"/>
  <c r="N13" i="7"/>
  <c r="O13" i="7" s="1"/>
  <c r="P13" i="7" s="1"/>
  <c r="Q13" i="7" s="1"/>
  <c r="N12" i="7"/>
  <c r="O12" i="7" s="1"/>
  <c r="P12" i="7" s="1"/>
  <c r="Q12" i="7" s="1"/>
  <c r="N11" i="7"/>
  <c r="O11" i="7" s="1"/>
  <c r="P11" i="7" s="1"/>
  <c r="Q11" i="7" s="1"/>
  <c r="N10" i="7"/>
  <c r="O10" i="7" s="1"/>
  <c r="P10" i="7" s="1"/>
  <c r="Q10" i="7" s="1"/>
  <c r="N9" i="7"/>
  <c r="O9" i="7" s="1"/>
  <c r="P9" i="7" s="1"/>
  <c r="Q9" i="7" s="1"/>
  <c r="N8" i="7"/>
  <c r="O8" i="7" s="1"/>
  <c r="P8" i="7" s="1"/>
  <c r="Q8" i="7" s="1"/>
  <c r="N7" i="7"/>
  <c r="O7" i="7" s="1"/>
  <c r="P7" i="7" s="1"/>
  <c r="Q7" i="7" s="1"/>
  <c r="N6" i="7"/>
  <c r="O6" i="7" s="1"/>
  <c r="P6" i="7" s="1"/>
  <c r="Q6" i="7" s="1"/>
  <c r="N5" i="7"/>
  <c r="O5" i="7" s="1"/>
  <c r="P5" i="7" s="1"/>
  <c r="Q5" i="7" s="1"/>
  <c r="N4" i="7"/>
  <c r="O4" i="7" s="1"/>
  <c r="P4" i="7" s="1"/>
  <c r="Q4" i="7" s="1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G116" i="30"/>
  <c r="J119" i="30" s="1"/>
  <c r="M119" i="30" s="1"/>
  <c r="N121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D113" i="30"/>
  <c r="E111" i="30"/>
  <c r="K122" i="30" s="1"/>
  <c r="F111" i="30"/>
  <c r="K123" i="30" s="1"/>
  <c r="G111" i="30"/>
  <c r="K124" i="30" s="1"/>
  <c r="D111" i="30"/>
  <c r="K121" i="30" s="1"/>
  <c r="D107" i="30"/>
  <c r="F21" i="32" l="1"/>
  <c r="I21" i="32"/>
  <c r="I41" i="32"/>
  <c r="M41" i="32"/>
  <c r="P41" i="32"/>
  <c r="R21" i="32"/>
  <c r="C41" i="32"/>
  <c r="E21" i="32"/>
  <c r="E41" i="32"/>
  <c r="G41" i="32"/>
  <c r="H21" i="32"/>
  <c r="M21" i="32"/>
  <c r="Q21" i="32"/>
  <c r="Q41" i="32"/>
  <c r="D21" i="32"/>
  <c r="G21" i="32"/>
  <c r="L21" i="32"/>
  <c r="N21" i="32"/>
  <c r="O21" i="32"/>
  <c r="P21" i="32"/>
  <c r="J41" i="32"/>
  <c r="N41" i="32"/>
  <c r="O41" i="32"/>
  <c r="R41" i="32"/>
  <c r="L197" i="30"/>
  <c r="D192" i="30"/>
  <c r="M177" i="30"/>
  <c r="M173" i="30"/>
  <c r="D195" i="30"/>
  <c r="D191" i="30"/>
  <c r="L196" i="30"/>
  <c r="D194" i="30"/>
  <c r="D190" i="30"/>
  <c r="D188" i="30"/>
  <c r="I196" i="30"/>
  <c r="D193" i="30"/>
  <c r="D189" i="30"/>
  <c r="I198" i="30"/>
  <c r="I197" i="30"/>
  <c r="L198" i="30"/>
  <c r="M171" i="30"/>
  <c r="M175" i="30"/>
  <c r="M178" i="30"/>
  <c r="M174" i="30"/>
  <c r="M176" i="30"/>
  <c r="M172" i="30"/>
  <c r="L41" i="32"/>
  <c r="K41" i="32"/>
  <c r="H41" i="32"/>
  <c r="B41" i="32"/>
  <c r="O116" i="30"/>
  <c r="M121" i="30"/>
  <c r="O121" i="30" s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E11" i="11"/>
  <c r="D11" i="11"/>
  <c r="C11" i="11"/>
  <c r="B11" i="11"/>
  <c r="O53" i="11" l="1"/>
  <c r="I378" i="30" s="1"/>
  <c r="N53" i="11"/>
  <c r="H378" i="30" s="1"/>
  <c r="M53" i="11"/>
  <c r="G378" i="30" s="1"/>
  <c r="L53" i="11"/>
  <c r="F378" i="30" s="1"/>
  <c r="K53" i="11"/>
  <c r="E378" i="30" s="1"/>
  <c r="J53" i="11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109" i="30"/>
  <c r="A374" i="30"/>
  <c r="D341" i="30"/>
  <c r="D383" i="30" s="1"/>
  <c r="D391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D392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M27" i="30"/>
  <c r="D67" i="30"/>
  <c r="L275" i="30" l="1"/>
  <c r="I295" i="30"/>
  <c r="H111" i="30"/>
  <c r="I309" i="30" l="1"/>
  <c r="I324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B206" i="7" l="1"/>
  <c r="B205" i="7"/>
  <c r="B204" i="7"/>
  <c r="B203" i="7"/>
  <c r="B202" i="7"/>
  <c r="B201" i="7"/>
  <c r="B200" i="7"/>
  <c r="B199" i="7"/>
  <c r="B198" i="7"/>
  <c r="B197" i="7"/>
  <c r="B196" i="7"/>
  <c r="B195" i="7"/>
  <c r="B250" i="7" l="1"/>
  <c r="D160" i="30"/>
  <c r="B22" i="23"/>
  <c r="G6" i="17" l="1"/>
  <c r="G7" i="17"/>
  <c r="G8" i="17"/>
  <c r="G9" i="17"/>
  <c r="G5" i="17"/>
  <c r="G29" i="17" l="1"/>
  <c r="T193" i="30" s="1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A363" i="30" s="1"/>
  <c r="G30" i="17"/>
  <c r="T194" i="30" s="1"/>
  <c r="G31" i="17"/>
  <c r="T195" i="30" s="1"/>
  <c r="G32" i="17"/>
  <c r="T196" i="30" s="1"/>
  <c r="G33" i="17"/>
  <c r="T197" i="30" s="1"/>
  <c r="G34" i="17"/>
  <c r="T198" i="30" s="1"/>
  <c r="M38" i="9"/>
  <c r="M45" i="9"/>
  <c r="M44" i="9"/>
  <c r="M43" i="9"/>
  <c r="J40" i="11"/>
  <c r="I37" i="30" s="1"/>
  <c r="I40" i="11"/>
  <c r="I36" i="30" s="1"/>
  <c r="I76" i="30" s="1"/>
  <c r="I217" i="30" s="1"/>
  <c r="H40" i="11"/>
  <c r="I35" i="30" s="1"/>
  <c r="M39" i="9"/>
  <c r="G306" i="30"/>
  <c r="G305" i="30"/>
  <c r="G304" i="30"/>
  <c r="G300" i="30"/>
  <c r="M62" i="9" l="1"/>
  <c r="S237" i="30" s="1"/>
  <c r="J41" i="11"/>
  <c r="G303" i="30"/>
  <c r="H41" i="11"/>
  <c r="G301" i="30"/>
  <c r="I41" i="11"/>
  <c r="G302" i="30"/>
  <c r="I75" i="30"/>
  <c r="I216" i="30" s="1"/>
  <c r="I77" i="30"/>
  <c r="I59" i="30"/>
  <c r="T48" i="30"/>
  <c r="I24" i="30"/>
  <c r="E31" i="18"/>
  <c r="G318" i="30" s="1"/>
  <c r="E33" i="18"/>
  <c r="G320" i="30" s="1"/>
  <c r="E27" i="18"/>
  <c r="G314" i="30" s="1"/>
  <c r="E32" i="18"/>
  <c r="G319" i="30" s="1"/>
  <c r="G40" i="11"/>
  <c r="I34" i="30" s="1"/>
  <c r="I74" i="30" s="1"/>
  <c r="I215" i="30" s="1"/>
  <c r="L41" i="11"/>
  <c r="F365" i="30" s="1"/>
  <c r="K41" i="11"/>
  <c r="E365" i="30" s="1"/>
  <c r="G41" i="11"/>
  <c r="M42" i="9"/>
  <c r="M60" i="9" s="1"/>
  <c r="S235" i="30" s="1"/>
  <c r="M40" i="11"/>
  <c r="M40" i="9"/>
  <c r="M57" i="9" s="1"/>
  <c r="S232" i="30" s="1"/>
  <c r="E30" i="18"/>
  <c r="G317" i="30" s="1"/>
  <c r="M41" i="11"/>
  <c r="G365" i="30" s="1"/>
  <c r="G38" i="17"/>
  <c r="M61" i="9"/>
  <c r="S236" i="30" s="1"/>
  <c r="M41" i="9"/>
  <c r="E29" i="18"/>
  <c r="G316" i="30" s="1"/>
  <c r="E28" i="18"/>
  <c r="G315" i="30" s="1"/>
  <c r="L40" i="11"/>
  <c r="K40" i="11"/>
  <c r="H76" i="9"/>
  <c r="I10" i="17"/>
  <c r="J33" i="9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G40" i="17" l="1"/>
  <c r="I199" i="30"/>
  <c r="I204" i="30" s="1"/>
  <c r="I205" i="30" s="1"/>
  <c r="G36" i="17"/>
  <c r="O39" i="11" s="1"/>
  <c r="I76" i="9"/>
  <c r="E255" i="30" s="1"/>
  <c r="D255" i="30"/>
  <c r="I38" i="30"/>
  <c r="I78" i="30" s="1"/>
  <c r="I219" i="30" s="1"/>
  <c r="E364" i="30"/>
  <c r="I39" i="30"/>
  <c r="I79" i="30" s="1"/>
  <c r="I220" i="30" s="1"/>
  <c r="F364" i="30"/>
  <c r="I40" i="30"/>
  <c r="G364" i="30"/>
  <c r="I232" i="30"/>
  <c r="I233" i="30"/>
  <c r="I97" i="30"/>
  <c r="I96" i="30"/>
  <c r="I218" i="30"/>
  <c r="I234" i="30" s="1"/>
  <c r="I94" i="30"/>
  <c r="I95" i="30"/>
  <c r="I80" i="30"/>
  <c r="I64" i="30"/>
  <c r="I61" i="30"/>
  <c r="M59" i="9"/>
  <c r="S234" i="30" s="1"/>
  <c r="E35" i="18"/>
  <c r="G321" i="30" s="1"/>
  <c r="M58" i="9"/>
  <c r="H219" i="7"/>
  <c r="I98" i="30" l="1"/>
  <c r="M66" i="9"/>
  <c r="S233" i="30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L7" i="17" s="1"/>
  <c r="B8" i="17"/>
  <c r="B9" i="17"/>
  <c r="L9" i="17" s="1"/>
  <c r="B10" i="17"/>
  <c r="B11" i="17"/>
  <c r="L11" i="17" s="1"/>
  <c r="B12" i="17"/>
  <c r="B13" i="17"/>
  <c r="B5" i="17"/>
  <c r="D50" i="17"/>
  <c r="D5" i="17" s="1"/>
  <c r="D15" i="17"/>
  <c r="F181" i="30" s="1"/>
  <c r="C15" i="17"/>
  <c r="E181" i="30" s="1"/>
  <c r="B14" i="17"/>
  <c r="D180" i="30" s="1"/>
  <c r="D196" i="30" s="1"/>
  <c r="H13" i="17"/>
  <c r="D59" i="17"/>
  <c r="D13" i="17" s="1"/>
  <c r="C59" i="17"/>
  <c r="C13" i="17" s="1"/>
  <c r="L5" i="17" l="1"/>
  <c r="L10" i="17"/>
  <c r="L6" i="17"/>
  <c r="L12" i="17"/>
  <c r="L8" i="17"/>
  <c r="M64" i="9"/>
  <c r="M46" i="9" s="1"/>
  <c r="I238" i="30"/>
  <c r="I243" i="30" s="1"/>
  <c r="L13" i="17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08" i="30"/>
  <c r="I224" i="30" s="1"/>
  <c r="I241" i="30" s="1"/>
  <c r="I247" i="30" s="1"/>
  <c r="I253" i="30" s="1"/>
  <c r="I280" i="30" s="1"/>
  <c r="I185" i="30"/>
  <c r="N9" i="17"/>
  <c r="H15" i="17"/>
  <c r="J181" i="30" s="1"/>
  <c r="I15" i="17"/>
  <c r="K181" i="30" s="1"/>
  <c r="B16" i="17"/>
  <c r="D16" i="17"/>
  <c r="F182" i="30" s="1"/>
  <c r="E16" i="17"/>
  <c r="G182" i="30" s="1"/>
  <c r="H16" i="17"/>
  <c r="J182" i="30" s="1"/>
  <c r="N11" i="17"/>
  <c r="L140" i="7" s="1"/>
  <c r="C16" i="17"/>
  <c r="E182" i="30" s="1"/>
  <c r="N8" i="17"/>
  <c r="N7" i="17"/>
  <c r="N6" i="17"/>
  <c r="L80" i="7" s="1"/>
  <c r="N13" i="17"/>
  <c r="L164" i="7" s="1"/>
  <c r="N5" i="17"/>
  <c r="N12" i="17"/>
  <c r="L152" i="7" s="1"/>
  <c r="F16" i="17"/>
  <c r="H182" i="30" s="1"/>
  <c r="N10" i="17"/>
  <c r="B15" i="17"/>
  <c r="D181" i="30" s="1"/>
  <c r="I14" i="17"/>
  <c r="K180" i="30" s="1"/>
  <c r="K196" i="30" s="1"/>
  <c r="E15" i="17"/>
  <c r="G181" i="30" s="1"/>
  <c r="F15" i="17"/>
  <c r="H181" i="30" s="1"/>
  <c r="I16" i="17"/>
  <c r="K182" i="30" s="1"/>
  <c r="D14" i="17"/>
  <c r="F180" i="30" s="1"/>
  <c r="F196" i="30" s="1"/>
  <c r="C14" i="17"/>
  <c r="E180" i="30" s="1"/>
  <c r="E196" i="30" s="1"/>
  <c r="H14" i="17"/>
  <c r="J180" i="30" s="1"/>
  <c r="F14" i="17"/>
  <c r="H180" i="30" s="1"/>
  <c r="H196" i="30" s="1"/>
  <c r="E14" i="17"/>
  <c r="G180" i="30" s="1"/>
  <c r="G196" i="30" s="1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L141" i="7" l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G197" i="30"/>
  <c r="H198" i="30"/>
  <c r="F198" i="30"/>
  <c r="H197" i="30"/>
  <c r="M181" i="30"/>
  <c r="D197" i="30"/>
  <c r="G198" i="30"/>
  <c r="F197" i="30"/>
  <c r="E198" i="30"/>
  <c r="L16" i="17"/>
  <c r="D182" i="30"/>
  <c r="M69" i="9"/>
  <c r="M77" i="9" s="1"/>
  <c r="M47" i="9"/>
  <c r="M70" i="9" s="1"/>
  <c r="M78" i="9" s="1"/>
  <c r="K198" i="30"/>
  <c r="J198" i="30"/>
  <c r="K197" i="30"/>
  <c r="E197" i="30"/>
  <c r="J197" i="30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U39" i="32"/>
  <c r="U19" i="32"/>
  <c r="U38" i="32"/>
  <c r="U18" i="32"/>
  <c r="U37" i="32"/>
  <c r="U17" i="32"/>
  <c r="U36" i="32"/>
  <c r="U16" i="32"/>
  <c r="U35" i="32"/>
  <c r="U15" i="32"/>
  <c r="U34" i="32"/>
  <c r="U14" i="32"/>
  <c r="U33" i="32"/>
  <c r="U13" i="32"/>
  <c r="U32" i="32"/>
  <c r="U12" i="32"/>
  <c r="U31" i="32"/>
  <c r="U11" i="32"/>
  <c r="U30" i="32"/>
  <c r="U10" i="32"/>
  <c r="U29" i="32"/>
  <c r="U9" i="32"/>
  <c r="T39" i="32"/>
  <c r="T19" i="32"/>
  <c r="T38" i="32"/>
  <c r="T18" i="32"/>
  <c r="T37" i="32"/>
  <c r="T17" i="32"/>
  <c r="T36" i="32"/>
  <c r="T16" i="32"/>
  <c r="T35" i="32"/>
  <c r="T15" i="32"/>
  <c r="T34" i="32"/>
  <c r="T14" i="32"/>
  <c r="T33" i="32"/>
  <c r="T13" i="32"/>
  <c r="T32" i="32"/>
  <c r="T12" i="32"/>
  <c r="T31" i="32"/>
  <c r="T11" i="32"/>
  <c r="T30" i="32"/>
  <c r="T10" i="32"/>
  <c r="T29" i="32"/>
  <c r="T9" i="32"/>
  <c r="S39" i="32"/>
  <c r="S19" i="32"/>
  <c r="S38" i="32"/>
  <c r="S18" i="32"/>
  <c r="S37" i="32"/>
  <c r="S17" i="32"/>
  <c r="S36" i="32"/>
  <c r="S16" i="32"/>
  <c r="S35" i="32"/>
  <c r="S15" i="32"/>
  <c r="S34" i="32"/>
  <c r="S14" i="32"/>
  <c r="S33" i="32"/>
  <c r="S13" i="32"/>
  <c r="S32" i="32"/>
  <c r="S12" i="32"/>
  <c r="S31" i="32"/>
  <c r="S11" i="32"/>
  <c r="S30" i="32"/>
  <c r="S10" i="32"/>
  <c r="S29" i="32"/>
  <c r="S9" i="32"/>
  <c r="P16" i="26"/>
  <c r="J272" i="30" s="1"/>
  <c r="N14" i="26"/>
  <c r="H3" i="26" s="1"/>
  <c r="T12" i="26"/>
  <c r="C12" i="26"/>
  <c r="B12" i="26"/>
  <c r="D11" i="26"/>
  <c r="E11" i="26" s="1"/>
  <c r="D10" i="26"/>
  <c r="E10" i="26" s="1"/>
  <c r="D9" i="26"/>
  <c r="E9" i="26" s="1"/>
  <c r="D8" i="26"/>
  <c r="E8" i="26" s="1"/>
  <c r="F7" i="26"/>
  <c r="N120" i="30" s="1"/>
  <c r="O120" i="30" s="1"/>
  <c r="D7" i="26"/>
  <c r="E7" i="26" s="1"/>
  <c r="S6" i="26"/>
  <c r="G262" i="30" s="1"/>
  <c r="G268" i="30" s="1"/>
  <c r="R6" i="26"/>
  <c r="F262" i="30" s="1"/>
  <c r="F268" i="30" s="1"/>
  <c r="Q6" i="26"/>
  <c r="E262" i="30" s="1"/>
  <c r="P6" i="26"/>
  <c r="F6" i="26"/>
  <c r="N119" i="30" s="1"/>
  <c r="O119" i="30" s="1"/>
  <c r="D6" i="26"/>
  <c r="E6" i="26" s="1"/>
  <c r="F5" i="26"/>
  <c r="N118" i="30" s="1"/>
  <c r="O118" i="30" s="1"/>
  <c r="D5" i="26"/>
  <c r="E5" i="26" s="1"/>
  <c r="F4" i="26"/>
  <c r="N117" i="30" s="1"/>
  <c r="O117" i="30" s="1"/>
  <c r="D4" i="26"/>
  <c r="E4" i="26" s="1"/>
  <c r="F16" i="26"/>
  <c r="G2" i="26"/>
  <c r="H2" i="26" s="1"/>
  <c r="D218" i="7"/>
  <c r="D230" i="7" s="1"/>
  <c r="D210" i="7"/>
  <c r="D222" i="7" s="1"/>
  <c r="D209" i="7"/>
  <c r="D221" i="7" s="1"/>
  <c r="D208" i="7"/>
  <c r="D220" i="7" s="1"/>
  <c r="D305" i="30"/>
  <c r="M30" i="11"/>
  <c r="L25" i="11"/>
  <c r="N45" i="9"/>
  <c r="O43" i="9"/>
  <c r="N42" i="9"/>
  <c r="J17" i="11"/>
  <c r="L56" i="30"/>
  <c r="J34" i="17"/>
  <c r="W198" i="30" s="1"/>
  <c r="L57" i="30"/>
  <c r="H304" i="30"/>
  <c r="K30" i="11"/>
  <c r="J50" i="11"/>
  <c r="J25" i="11"/>
  <c r="F37" i="30" s="1"/>
  <c r="N69" i="11"/>
  <c r="O69" i="11"/>
  <c r="H305" i="30"/>
  <c r="F304" i="30"/>
  <c r="D22" i="18"/>
  <c r="D23" i="18"/>
  <c r="D24" i="18"/>
  <c r="F311" i="30" s="1"/>
  <c r="F24" i="18"/>
  <c r="H311" i="30" s="1"/>
  <c r="E304" i="30"/>
  <c r="H31" i="17"/>
  <c r="U195" i="30" s="1"/>
  <c r="L44" i="11"/>
  <c r="I33" i="17"/>
  <c r="V197" i="30" s="1"/>
  <c r="M34" i="11"/>
  <c r="M44" i="11"/>
  <c r="M16" i="11"/>
  <c r="I31" i="17"/>
  <c r="V195" i="30" s="1"/>
  <c r="F31" i="17"/>
  <c r="S195" i="30" s="1"/>
  <c r="E31" i="17"/>
  <c r="R195" i="30" s="1"/>
  <c r="B31" i="17"/>
  <c r="O195" i="30" s="1"/>
  <c r="G19" i="9"/>
  <c r="I10" i="11" s="1"/>
  <c r="I12" i="11" s="1"/>
  <c r="B24" i="9"/>
  <c r="B25" i="9"/>
  <c r="B249" i="7"/>
  <c r="B248" i="7"/>
  <c r="B247" i="7"/>
  <c r="G15" i="9"/>
  <c r="E10" i="11" s="1"/>
  <c r="E12" i="11" s="1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O193" i="30" s="1"/>
  <c r="B30" i="17"/>
  <c r="O194" i="30" s="1"/>
  <c r="I41" i="9"/>
  <c r="I35" i="9"/>
  <c r="C24" i="17"/>
  <c r="C26" i="17"/>
  <c r="I37" i="9"/>
  <c r="I38" i="9"/>
  <c r="I56" i="9" s="1"/>
  <c r="O231" i="30" s="1"/>
  <c r="C28" i="17"/>
  <c r="P192" i="30" s="1"/>
  <c r="C27" i="17"/>
  <c r="J34" i="9"/>
  <c r="J36" i="9"/>
  <c r="J37" i="9"/>
  <c r="D27" i="17"/>
  <c r="J40" i="9"/>
  <c r="D25" i="17"/>
  <c r="D26" i="17"/>
  <c r="D29" i="17"/>
  <c r="Q193" i="30" s="1"/>
  <c r="D30" i="17"/>
  <c r="Q194" i="30" s="1"/>
  <c r="K34" i="9"/>
  <c r="K36" i="9"/>
  <c r="K37" i="9"/>
  <c r="K38" i="9"/>
  <c r="K39" i="9"/>
  <c r="K40" i="9"/>
  <c r="L35" i="9"/>
  <c r="L34" i="9"/>
  <c r="L36" i="9"/>
  <c r="L37" i="9"/>
  <c r="L38" i="9"/>
  <c r="L39" i="9"/>
  <c r="L40" i="9"/>
  <c r="N41" i="9"/>
  <c r="N37" i="9"/>
  <c r="H27" i="17"/>
  <c r="U191" i="30" s="1"/>
  <c r="N39" i="9"/>
  <c r="N40" i="9"/>
  <c r="H29" i="17"/>
  <c r="U193" i="30" s="1"/>
  <c r="H30" i="17"/>
  <c r="U194" i="30" s="1"/>
  <c r="O41" i="9"/>
  <c r="O40" i="9"/>
  <c r="O39" i="9"/>
  <c r="B235" i="7"/>
  <c r="B236" i="7"/>
  <c r="B237" i="7"/>
  <c r="B238" i="7"/>
  <c r="B239" i="7"/>
  <c r="B240" i="7"/>
  <c r="B241" i="7"/>
  <c r="B242" i="7"/>
  <c r="B243" i="7"/>
  <c r="F4" i="11" s="1"/>
  <c r="B244" i="7"/>
  <c r="B245" i="7"/>
  <c r="B234" i="7"/>
  <c r="G12" i="9"/>
  <c r="B10" i="11" s="1"/>
  <c r="B12" i="11" s="1"/>
  <c r="G13" i="9"/>
  <c r="C10" i="11" s="1"/>
  <c r="C12" i="11" s="1"/>
  <c r="G14" i="9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R192" i="30" s="1"/>
  <c r="E29" i="17"/>
  <c r="R193" i="30" s="1"/>
  <c r="E30" i="17"/>
  <c r="R194" i="30" s="1"/>
  <c r="F24" i="17"/>
  <c r="F25" i="17"/>
  <c r="F26" i="17"/>
  <c r="F27" i="17"/>
  <c r="F28" i="17"/>
  <c r="S192" i="30" s="1"/>
  <c r="F29" i="17"/>
  <c r="S193" i="30" s="1"/>
  <c r="F30" i="17"/>
  <c r="S194" i="30" s="1"/>
  <c r="J16" i="11"/>
  <c r="J29" i="11"/>
  <c r="G56" i="30" s="1"/>
  <c r="J34" i="11"/>
  <c r="H56" i="30" s="1"/>
  <c r="J49" i="11"/>
  <c r="B22" i="18"/>
  <c r="B23" i="18"/>
  <c r="B11" i="18"/>
  <c r="D302" i="30" s="1"/>
  <c r="F11" i="18"/>
  <c r="D11" i="18"/>
  <c r="F302" i="30" s="1"/>
  <c r="C11" i="18"/>
  <c r="E302" i="30" s="1"/>
  <c r="C29" i="18"/>
  <c r="E316" i="30" s="1"/>
  <c r="F10" i="18"/>
  <c r="D10" i="18"/>
  <c r="F301" i="30" s="1"/>
  <c r="C10" i="18"/>
  <c r="E301" i="30" s="1"/>
  <c r="B10" i="18"/>
  <c r="D301" i="30" s="1"/>
  <c r="B9" i="18"/>
  <c r="D300" i="30" s="1"/>
  <c r="F9" i="18"/>
  <c r="H300" i="30" s="1"/>
  <c r="D9" i="18"/>
  <c r="F300" i="30" s="1"/>
  <c r="C9" i="18"/>
  <c r="E300" i="30" s="1"/>
  <c r="F8" i="18"/>
  <c r="H299" i="30" s="1"/>
  <c r="D8" i="18"/>
  <c r="C8" i="18"/>
  <c r="E299" i="30" s="1"/>
  <c r="F7" i="18"/>
  <c r="C7" i="18"/>
  <c r="E298" i="30" s="1"/>
  <c r="E31" i="11"/>
  <c r="D7" i="18"/>
  <c r="B6" i="18"/>
  <c r="D297" i="30" s="1"/>
  <c r="J297" i="30" s="1"/>
  <c r="C6" i="18"/>
  <c r="E297" i="30" s="1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I2" i="17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A43" i="11"/>
  <c r="A33" i="1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H31" i="11"/>
  <c r="I31" i="11"/>
  <c r="I46" i="11"/>
  <c r="H46" i="11"/>
  <c r="C25" i="18"/>
  <c r="E312" i="30" s="1"/>
  <c r="L4" i="17"/>
  <c r="B27" i="18"/>
  <c r="D314" i="30" s="1"/>
  <c r="G26" i="11"/>
  <c r="J20" i="11"/>
  <c r="E56" i="30" s="1"/>
  <c r="E49" i="11"/>
  <c r="K51" i="30" s="1"/>
  <c r="C49" i="11"/>
  <c r="K49" i="30" s="1"/>
  <c r="H28" i="17"/>
  <c r="U192" i="30" s="1"/>
  <c r="D28" i="17"/>
  <c r="Q192" i="30" s="1"/>
  <c r="J39" i="9"/>
  <c r="H37" i="9"/>
  <c r="B26" i="17"/>
  <c r="L41" i="9"/>
  <c r="G16" i="9"/>
  <c r="J38" i="9"/>
  <c r="N38" i="9"/>
  <c r="K35" i="9"/>
  <c r="J35" i="9"/>
  <c r="D24" i="17"/>
  <c r="I36" i="9"/>
  <c r="C25" i="17"/>
  <c r="G17" i="9"/>
  <c r="N36" i="9"/>
  <c r="C29" i="17"/>
  <c r="P193" i="30" s="1"/>
  <c r="I40" i="9"/>
  <c r="H40" i="9"/>
  <c r="G18" i="9"/>
  <c r="I29" i="17"/>
  <c r="V193" i="30" s="1"/>
  <c r="I30" i="17"/>
  <c r="V194" i="30" s="1"/>
  <c r="I34" i="9"/>
  <c r="H26" i="17"/>
  <c r="C30" i="17"/>
  <c r="P194" i="30" s="1"/>
  <c r="B28" i="17"/>
  <c r="O192" i="30" s="1"/>
  <c r="B24" i="17"/>
  <c r="C63" i="11"/>
  <c r="D9" i="30"/>
  <c r="D63" i="11"/>
  <c r="H62" i="11"/>
  <c r="H34" i="17"/>
  <c r="U198" i="30" s="1"/>
  <c r="H74" i="17"/>
  <c r="H84" i="17" s="1"/>
  <c r="M20" i="11"/>
  <c r="L49" i="11"/>
  <c r="K45" i="11"/>
  <c r="E370" i="30" s="1"/>
  <c r="K35" i="11"/>
  <c r="J43" i="9"/>
  <c r="I43" i="9"/>
  <c r="K17" i="11"/>
  <c r="K36" i="11"/>
  <c r="E361" i="30" s="1"/>
  <c r="F34" i="17"/>
  <c r="S198" i="30" s="1"/>
  <c r="I32" i="17"/>
  <c r="V196" i="30" s="1"/>
  <c r="K49" i="11"/>
  <c r="E374" i="30" s="1"/>
  <c r="K24" i="11"/>
  <c r="E303" i="30"/>
  <c r="H303" i="30"/>
  <c r="E306" i="30"/>
  <c r="M25" i="11"/>
  <c r="M17" i="11"/>
  <c r="O45" i="9"/>
  <c r="M21" i="11"/>
  <c r="D306" i="30"/>
  <c r="F305" i="30"/>
  <c r="K34" i="11"/>
  <c r="C33" i="17"/>
  <c r="P197" i="30" s="1"/>
  <c r="B32" i="17"/>
  <c r="O196" i="30" s="1"/>
  <c r="K44" i="11"/>
  <c r="E369" i="30" s="1"/>
  <c r="B7" i="18"/>
  <c r="D298" i="30" s="1"/>
  <c r="F26" i="18"/>
  <c r="H313" i="30" s="1"/>
  <c r="K29" i="11"/>
  <c r="B25" i="18"/>
  <c r="D312" i="30" s="1"/>
  <c r="J32" i="17"/>
  <c r="W196" i="30" s="1"/>
  <c r="B34" i="17"/>
  <c r="O198" i="30" s="1"/>
  <c r="J44" i="11"/>
  <c r="J56" i="30" s="1"/>
  <c r="L17" i="11"/>
  <c r="L35" i="11"/>
  <c r="L30" i="11"/>
  <c r="L21" i="11"/>
  <c r="L45" i="1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H33" i="17"/>
  <c r="U197" i="30" s="1"/>
  <c r="H32" i="17"/>
  <c r="U196" i="30" s="1"/>
  <c r="D34" i="17"/>
  <c r="Q198" i="30" s="1"/>
  <c r="L24" i="11"/>
  <c r="K16" i="11"/>
  <c r="L16" i="11"/>
  <c r="B33" i="17"/>
  <c r="O197" i="30" s="1"/>
  <c r="I34" i="17"/>
  <c r="V198" i="30" s="1"/>
  <c r="M49" i="11"/>
  <c r="L34" i="11"/>
  <c r="C34" i="17"/>
  <c r="P198" i="30" s="1"/>
  <c r="L20" i="11"/>
  <c r="K43" i="9"/>
  <c r="L59" i="30"/>
  <c r="C32" i="17"/>
  <c r="P196" i="30" s="1"/>
  <c r="K20" i="11"/>
  <c r="J30" i="11"/>
  <c r="G37" i="30" s="1"/>
  <c r="F25" i="18" l="1"/>
  <c r="H312" i="30" s="1"/>
  <c r="H298" i="30"/>
  <c r="G31" i="11"/>
  <c r="G60" i="11" s="1"/>
  <c r="D26" i="18"/>
  <c r="F313" i="30" s="1"/>
  <c r="F299" i="30"/>
  <c r="H7" i="18"/>
  <c r="C27" i="18"/>
  <c r="E314" i="30" s="1"/>
  <c r="E46" i="11"/>
  <c r="G36" i="11"/>
  <c r="F36" i="11"/>
  <c r="F27" i="18"/>
  <c r="H314" i="30" s="1"/>
  <c r="C24" i="18"/>
  <c r="E311" i="30" s="1"/>
  <c r="G46" i="11"/>
  <c r="D25" i="18"/>
  <c r="F312" i="30" s="1"/>
  <c r="F298" i="30"/>
  <c r="J298" i="30" s="1"/>
  <c r="D27" i="18"/>
  <c r="F314" i="30" s="1"/>
  <c r="J300" i="30"/>
  <c r="F28" i="18"/>
  <c r="H315" i="30" s="1"/>
  <c r="H301" i="30"/>
  <c r="J301" i="30" s="1"/>
  <c r="F29" i="18"/>
  <c r="H316" i="30" s="1"/>
  <c r="H302" i="30"/>
  <c r="J302" i="30" s="1"/>
  <c r="E63" i="11"/>
  <c r="H24" i="30"/>
  <c r="H64" i="30" s="1"/>
  <c r="H169" i="30" s="1"/>
  <c r="H202" i="30" s="1"/>
  <c r="H208" i="30" s="1"/>
  <c r="H224" i="30" s="1"/>
  <c r="H241" i="30" s="1"/>
  <c r="H247" i="30" s="1"/>
  <c r="H253" i="30" s="1"/>
  <c r="H280" i="30" s="1"/>
  <c r="A358" i="30"/>
  <c r="F63" i="11"/>
  <c r="F10" i="11"/>
  <c r="F12" i="11" s="1"/>
  <c r="D10" i="30"/>
  <c r="D10" i="11"/>
  <c r="D12" i="11" s="1"/>
  <c r="L54" i="9"/>
  <c r="R229" i="30" s="1"/>
  <c r="K54" i="9"/>
  <c r="Q229" i="30" s="1"/>
  <c r="K24" i="30"/>
  <c r="K64" i="30" s="1"/>
  <c r="K169" i="30" s="1"/>
  <c r="K202" i="30" s="1"/>
  <c r="K208" i="30" s="1"/>
  <c r="K224" i="30" s="1"/>
  <c r="K241" i="30" s="1"/>
  <c r="K247" i="30" s="1"/>
  <c r="K253" i="30" s="1"/>
  <c r="K280" i="30" s="1"/>
  <c r="K275" i="30" s="1"/>
  <c r="A373" i="30"/>
  <c r="J24" i="30"/>
  <c r="J64" i="30" s="1"/>
  <c r="J169" i="30" s="1"/>
  <c r="J185" i="30" s="1"/>
  <c r="A368" i="30"/>
  <c r="P10" i="26"/>
  <c r="D262" i="30"/>
  <c r="H262" i="30" s="1"/>
  <c r="E263" i="30" s="1"/>
  <c r="E266" i="30" s="1"/>
  <c r="N43" i="9"/>
  <c r="N60" i="9" s="1"/>
  <c r="T235" i="30" s="1"/>
  <c r="L26" i="11"/>
  <c r="F351" i="30" s="1"/>
  <c r="E268" i="30"/>
  <c r="K59" i="30"/>
  <c r="G374" i="30"/>
  <c r="D57" i="30"/>
  <c r="E341" i="30"/>
  <c r="E40" i="30"/>
  <c r="G346" i="30"/>
  <c r="E57" i="30"/>
  <c r="E345" i="30"/>
  <c r="E58" i="30"/>
  <c r="F345" i="30"/>
  <c r="F58" i="30"/>
  <c r="F349" i="30"/>
  <c r="G57" i="30"/>
  <c r="E354" i="30"/>
  <c r="H57" i="30"/>
  <c r="E359" i="30"/>
  <c r="F57" i="30"/>
  <c r="E349" i="30"/>
  <c r="H38" i="30"/>
  <c r="E360" i="30"/>
  <c r="G59" i="30"/>
  <c r="G354" i="30"/>
  <c r="E39" i="30"/>
  <c r="F346" i="30"/>
  <c r="D39" i="30"/>
  <c r="F342" i="30"/>
  <c r="D40" i="30"/>
  <c r="G342" i="30"/>
  <c r="M46" i="11"/>
  <c r="G371" i="30" s="1"/>
  <c r="H306" i="30"/>
  <c r="J36" i="11"/>
  <c r="F303" i="30"/>
  <c r="D38" i="30"/>
  <c r="E342" i="30"/>
  <c r="H58" i="30"/>
  <c r="F359" i="30"/>
  <c r="D58" i="30"/>
  <c r="F341" i="30"/>
  <c r="J39" i="30"/>
  <c r="F370" i="30"/>
  <c r="G39" i="30"/>
  <c r="F355" i="30"/>
  <c r="F40" i="30"/>
  <c r="G350" i="30"/>
  <c r="J26" i="11"/>
  <c r="D303" i="30"/>
  <c r="K58" i="30"/>
  <c r="F374" i="30"/>
  <c r="J59" i="30"/>
  <c r="G369" i="30"/>
  <c r="L31" i="11"/>
  <c r="F356" i="30" s="1"/>
  <c r="E305" i="30"/>
  <c r="J55" i="11"/>
  <c r="I303" i="30"/>
  <c r="M36" i="11"/>
  <c r="G361" i="30" s="1"/>
  <c r="F306" i="30"/>
  <c r="D242" i="27"/>
  <c r="S8" i="32"/>
  <c r="S21" i="32" s="1"/>
  <c r="Y10" i="32"/>
  <c r="X10" i="32"/>
  <c r="W10" i="32"/>
  <c r="C277" i="7" s="1"/>
  <c r="V10" i="32"/>
  <c r="C263" i="7" s="1"/>
  <c r="V12" i="32"/>
  <c r="C265" i="7" s="1"/>
  <c r="Y12" i="32"/>
  <c r="X12" i="32"/>
  <c r="W12" i="32"/>
  <c r="C279" i="7" s="1"/>
  <c r="V14" i="32"/>
  <c r="C267" i="7" s="1"/>
  <c r="Y14" i="32"/>
  <c r="X14" i="32"/>
  <c r="W14" i="32"/>
  <c r="C281" i="7" s="1"/>
  <c r="V16" i="32"/>
  <c r="C269" i="7" s="1"/>
  <c r="Y16" i="32"/>
  <c r="X16" i="32"/>
  <c r="W16" i="32"/>
  <c r="C283" i="7" s="1"/>
  <c r="Y18" i="32"/>
  <c r="X18" i="32"/>
  <c r="W18" i="32"/>
  <c r="C285" i="7" s="1"/>
  <c r="V18" i="32"/>
  <c r="C271" i="7" s="1"/>
  <c r="D254" i="27"/>
  <c r="T8" i="32"/>
  <c r="T21" i="32" s="1"/>
  <c r="U8" i="32"/>
  <c r="U21" i="32" s="1"/>
  <c r="D266" i="27"/>
  <c r="D198" i="30"/>
  <c r="M182" i="30"/>
  <c r="H39" i="30"/>
  <c r="F360" i="30"/>
  <c r="E59" i="30"/>
  <c r="G345" i="30"/>
  <c r="H59" i="30"/>
  <c r="G359" i="30"/>
  <c r="K26" i="11"/>
  <c r="E351" i="30" s="1"/>
  <c r="D304" i="30"/>
  <c r="G38" i="30"/>
  <c r="G78" i="30" s="1"/>
  <c r="G219" i="30" s="1"/>
  <c r="E355" i="30"/>
  <c r="K55" i="11"/>
  <c r="E380" i="30" s="1"/>
  <c r="I304" i="30"/>
  <c r="M55" i="11"/>
  <c r="G380" i="30" s="1"/>
  <c r="I306" i="30"/>
  <c r="S28" i="32"/>
  <c r="E242" i="27"/>
  <c r="Y30" i="32"/>
  <c r="W30" i="32"/>
  <c r="D277" i="7" s="1"/>
  <c r="X30" i="32"/>
  <c r="V30" i="32"/>
  <c r="D263" i="7" s="1"/>
  <c r="Y32" i="32"/>
  <c r="V32" i="32"/>
  <c r="D265" i="7" s="1"/>
  <c r="X32" i="32"/>
  <c r="W32" i="32"/>
  <c r="D279" i="7" s="1"/>
  <c r="Y34" i="32"/>
  <c r="W34" i="32"/>
  <c r="D281" i="7" s="1"/>
  <c r="X34" i="32"/>
  <c r="V34" i="32"/>
  <c r="D267" i="7" s="1"/>
  <c r="Y36" i="32"/>
  <c r="V36" i="32"/>
  <c r="D269" i="7" s="1"/>
  <c r="W36" i="32"/>
  <c r="D283" i="7" s="1"/>
  <c r="X36" i="32"/>
  <c r="Y38" i="32"/>
  <c r="W38" i="32"/>
  <c r="D285" i="7" s="1"/>
  <c r="X38" i="32"/>
  <c r="V38" i="32"/>
  <c r="D271" i="7" s="1"/>
  <c r="T28" i="32"/>
  <c r="T41" i="32" s="1"/>
  <c r="E254" i="27"/>
  <c r="U28" i="32"/>
  <c r="U41" i="32" s="1"/>
  <c r="E266" i="27"/>
  <c r="L55" i="11"/>
  <c r="F380" i="30" s="1"/>
  <c r="I305" i="30"/>
  <c r="G40" i="30"/>
  <c r="G355" i="30"/>
  <c r="V9" i="32"/>
  <c r="C262" i="7" s="1"/>
  <c r="W9" i="32"/>
  <c r="C276" i="7" s="1"/>
  <c r="Y9" i="32"/>
  <c r="X9" i="32"/>
  <c r="Y11" i="32"/>
  <c r="X11" i="32"/>
  <c r="W11" i="32"/>
  <c r="C278" i="7" s="1"/>
  <c r="V11" i="32"/>
  <c r="C264" i="7" s="1"/>
  <c r="V13" i="32"/>
  <c r="C266" i="7" s="1"/>
  <c r="Y13" i="32"/>
  <c r="X13" i="32"/>
  <c r="W13" i="32"/>
  <c r="C280" i="7" s="1"/>
  <c r="Y15" i="32"/>
  <c r="X15" i="32"/>
  <c r="W15" i="32"/>
  <c r="C282" i="7" s="1"/>
  <c r="V15" i="32"/>
  <c r="C268" i="7" s="1"/>
  <c r="W17" i="32"/>
  <c r="C284" i="7" s="1"/>
  <c r="V17" i="32"/>
  <c r="C270" i="7" s="1"/>
  <c r="Y17" i="32"/>
  <c r="X17" i="32"/>
  <c r="Y19" i="32"/>
  <c r="X19" i="32"/>
  <c r="W19" i="32"/>
  <c r="C286" i="7" s="1"/>
  <c r="V19" i="32"/>
  <c r="C272" i="7" s="1"/>
  <c r="D59" i="30"/>
  <c r="G341" i="30"/>
  <c r="J58" i="30"/>
  <c r="F369" i="30"/>
  <c r="F39" i="30"/>
  <c r="F350" i="30"/>
  <c r="Y29" i="32"/>
  <c r="X29" i="32"/>
  <c r="W29" i="32"/>
  <c r="D276" i="7" s="1"/>
  <c r="V29" i="32"/>
  <c r="D262" i="7" s="1"/>
  <c r="W31" i="32"/>
  <c r="D278" i="7" s="1"/>
  <c r="V31" i="32"/>
  <c r="D264" i="7" s="1"/>
  <c r="Y31" i="32"/>
  <c r="X31" i="32"/>
  <c r="Y33" i="32"/>
  <c r="X33" i="32"/>
  <c r="W33" i="32"/>
  <c r="D280" i="7" s="1"/>
  <c r="V33" i="32"/>
  <c r="D266" i="7" s="1"/>
  <c r="W35" i="32"/>
  <c r="D282" i="7" s="1"/>
  <c r="V35" i="32"/>
  <c r="D268" i="7" s="1"/>
  <c r="Y35" i="32"/>
  <c r="X35" i="32"/>
  <c r="Y37" i="32"/>
  <c r="X37" i="32"/>
  <c r="W37" i="32"/>
  <c r="D284" i="7" s="1"/>
  <c r="V37" i="32"/>
  <c r="D270" i="7" s="1"/>
  <c r="V39" i="32"/>
  <c r="D272" i="7" s="1"/>
  <c r="Y39" i="32"/>
  <c r="W39" i="32"/>
  <c r="D286" i="7" s="1"/>
  <c r="X39" i="32"/>
  <c r="H4" i="1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54" i="23" s="1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B53" i="23" s="1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K185" i="30"/>
  <c r="G72" i="30"/>
  <c r="G213" i="30" s="1"/>
  <c r="J72" i="30"/>
  <c r="J213" i="30" s="1"/>
  <c r="E72" i="30"/>
  <c r="E213" i="30" s="1"/>
  <c r="H71" i="30"/>
  <c r="E5" i="11"/>
  <c r="E152" i="30"/>
  <c r="C14" i="23"/>
  <c r="C57" i="23" s="1"/>
  <c r="C9" i="23"/>
  <c r="C52" i="23" s="1"/>
  <c r="E147" i="30"/>
  <c r="C13" i="23"/>
  <c r="C56" i="23" s="1"/>
  <c r="E151" i="30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F73" i="30"/>
  <c r="F214" i="30" s="1"/>
  <c r="J73" i="30"/>
  <c r="E73" i="30"/>
  <c r="G77" i="30"/>
  <c r="G218" i="30" s="1"/>
  <c r="F72" i="30"/>
  <c r="F213" i="30" s="1"/>
  <c r="J71" i="30"/>
  <c r="J212" i="30" s="1"/>
  <c r="E71" i="30"/>
  <c r="K75" i="30"/>
  <c r="K216" i="30" s="1"/>
  <c r="J76" i="30"/>
  <c r="J217" i="30" s="1"/>
  <c r="H72" i="30"/>
  <c r="H213" i="30" s="1"/>
  <c r="G71" i="30"/>
  <c r="G212" i="30" s="1"/>
  <c r="H76" i="30"/>
  <c r="H217" i="30" s="1"/>
  <c r="J74" i="30"/>
  <c r="J215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T232" i="30" s="1"/>
  <c r="J57" i="30"/>
  <c r="K55" i="9"/>
  <c r="Q230" i="30" s="1"/>
  <c r="J54" i="9"/>
  <c r="P229" i="30" s="1"/>
  <c r="H52" i="9"/>
  <c r="N227" i="30" s="1"/>
  <c r="I57" i="9"/>
  <c r="O232" i="30" s="1"/>
  <c r="E10" i="30"/>
  <c r="F10" i="30" s="1"/>
  <c r="D11" i="30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F320" i="30" s="1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Q233" i="30" s="1"/>
  <c r="I54" i="9"/>
  <c r="O229" i="30" s="1"/>
  <c r="K57" i="9"/>
  <c r="Q232" i="30" s="1"/>
  <c r="H58" i="9"/>
  <c r="N233" i="30" s="1"/>
  <c r="J57" i="9"/>
  <c r="P232" i="30" s="1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E371" i="30" s="1"/>
  <c r="O42" i="9"/>
  <c r="O59" i="9" s="1"/>
  <c r="U234" i="30" s="1"/>
  <c r="P42" i="9"/>
  <c r="J46" i="11"/>
  <c r="P43" i="9"/>
  <c r="B31" i="18"/>
  <c r="D318" i="30" s="1"/>
  <c r="K50" i="11"/>
  <c r="E375" i="30" s="1"/>
  <c r="C209" i="7"/>
  <c r="C211" i="7"/>
  <c r="C213" i="7"/>
  <c r="C215" i="7"/>
  <c r="C217" i="7"/>
  <c r="L45" i="9"/>
  <c r="K45" i="9"/>
  <c r="H15" i="18"/>
  <c r="M69" i="11"/>
  <c r="C208" i="7"/>
  <c r="C210" i="7"/>
  <c r="C212" i="7"/>
  <c r="C214" i="7"/>
  <c r="C216" i="7"/>
  <c r="C218" i="7"/>
  <c r="H43" i="9"/>
  <c r="I44" i="9"/>
  <c r="I61" i="9" s="1"/>
  <c r="O236" i="30" s="1"/>
  <c r="J55" i="9"/>
  <c r="P230" i="30" s="1"/>
  <c r="P44" i="9"/>
  <c r="F31" i="18"/>
  <c r="H318" i="30" s="1"/>
  <c r="N44" i="9"/>
  <c r="D31" i="18"/>
  <c r="F318" i="30" s="1"/>
  <c r="M35" i="11"/>
  <c r="L44" i="9"/>
  <c r="K25" i="11"/>
  <c r="H44" i="9"/>
  <c r="I53" i="9"/>
  <c r="O228" i="30" s="1"/>
  <c r="G63" i="11"/>
  <c r="C32" i="18"/>
  <c r="E319" i="30" s="1"/>
  <c r="H45" i="9"/>
  <c r="I45" i="9"/>
  <c r="H54" i="9"/>
  <c r="N229" i="30" s="1"/>
  <c r="I58" i="9"/>
  <c r="O233" i="30" s="1"/>
  <c r="L53" i="9"/>
  <c r="R228" i="30" s="1"/>
  <c r="N58" i="9"/>
  <c r="T233" i="30" s="1"/>
  <c r="H57" i="9"/>
  <c r="N232" i="30" s="1"/>
  <c r="H53" i="9"/>
  <c r="N228" i="30" s="1"/>
  <c r="J52" i="9"/>
  <c r="P227" i="30" s="1"/>
  <c r="J58" i="9"/>
  <c r="P233" i="30" s="1"/>
  <c r="N55" i="9"/>
  <c r="T230" i="30" s="1"/>
  <c r="N54" i="9"/>
  <c r="T229" i="30" s="1"/>
  <c r="N56" i="9"/>
  <c r="T231" i="30" s="1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U237" i="30" s="1"/>
  <c r="L50" i="11"/>
  <c r="F375" i="30" s="1"/>
  <c r="K52" i="9"/>
  <c r="Q227" i="30" s="1"/>
  <c r="J56" i="9"/>
  <c r="P231" i="30" s="1"/>
  <c r="K31" i="11"/>
  <c r="E356" i="30" s="1"/>
  <c r="H13" i="18"/>
  <c r="L304" i="30" s="1"/>
  <c r="C31" i="18"/>
  <c r="E318" i="30" s="1"/>
  <c r="J35" i="11"/>
  <c r="H37" i="30" s="1"/>
  <c r="D30" i="18"/>
  <c r="F317" i="30" s="1"/>
  <c r="P45" i="9"/>
  <c r="J31" i="11"/>
  <c r="F46" i="11"/>
  <c r="H10" i="18"/>
  <c r="L301" i="30" s="1"/>
  <c r="H26" i="11"/>
  <c r="B28" i="18"/>
  <c r="D315" i="30" s="1"/>
  <c r="G62" i="11"/>
  <c r="L42" i="9"/>
  <c r="D5" i="11"/>
  <c r="O241" i="7"/>
  <c r="P241" i="7" s="1"/>
  <c r="M50" i="11"/>
  <c r="B30" i="18"/>
  <c r="D317" i="30" s="1"/>
  <c r="H12" i="18"/>
  <c r="L303" i="30" s="1"/>
  <c r="B12" i="9"/>
  <c r="O58" i="9"/>
  <c r="U233" i="30" s="1"/>
  <c r="L55" i="9"/>
  <c r="R230" i="30" s="1"/>
  <c r="K53" i="9"/>
  <c r="Q228" i="30" s="1"/>
  <c r="H55" i="9"/>
  <c r="N230" i="30" s="1"/>
  <c r="H56" i="9"/>
  <c r="N231" i="30" s="1"/>
  <c r="I38" i="17"/>
  <c r="K199" i="30" s="1"/>
  <c r="K204" i="30" s="1"/>
  <c r="K205" i="30" s="1"/>
  <c r="H11" i="18"/>
  <c r="L302" i="30" s="1"/>
  <c r="I26" i="11"/>
  <c r="B29" i="18"/>
  <c r="D316" i="30" s="1"/>
  <c r="D31" i="17"/>
  <c r="Q195" i="30" s="1"/>
  <c r="D73" i="17"/>
  <c r="J42" i="9"/>
  <c r="J60" i="9" s="1"/>
  <c r="P235" i="30" s="1"/>
  <c r="J24" i="11"/>
  <c r="F56" i="30" s="1"/>
  <c r="F77" i="30" s="1"/>
  <c r="F218" i="30" s="1"/>
  <c r="I123" i="7"/>
  <c r="F17" i="26"/>
  <c r="T6" i="26"/>
  <c r="C12" i="9"/>
  <c r="B5" i="11"/>
  <c r="B6" i="11" s="1"/>
  <c r="E26" i="11"/>
  <c r="I36" i="11"/>
  <c r="D29" i="18"/>
  <c r="F316" i="30" s="1"/>
  <c r="H63" i="11"/>
  <c r="L58" i="9"/>
  <c r="R233" i="30" s="1"/>
  <c r="E84" i="17"/>
  <c r="F83" i="17"/>
  <c r="B8" i="18"/>
  <c r="D299" i="30" s="1"/>
  <c r="C26" i="18"/>
  <c r="E313" i="30" s="1"/>
  <c r="F31" i="11"/>
  <c r="C28" i="18"/>
  <c r="E315" i="30" s="1"/>
  <c r="B18" i="9"/>
  <c r="L43" i="9"/>
  <c r="F32" i="17"/>
  <c r="S196" i="30" s="1"/>
  <c r="F33" i="17"/>
  <c r="S197" i="30" s="1"/>
  <c r="J45" i="11"/>
  <c r="F30" i="18"/>
  <c r="H317" i="30" s="1"/>
  <c r="M45" i="11"/>
  <c r="F33" i="18"/>
  <c r="H320" i="30" s="1"/>
  <c r="H38" i="17"/>
  <c r="J199" i="30" s="1"/>
  <c r="J204" i="30" s="1"/>
  <c r="B83" i="17"/>
  <c r="J73" i="17"/>
  <c r="M73" i="17" s="1"/>
  <c r="D26" i="11"/>
  <c r="D60" i="11" s="1"/>
  <c r="H9" i="18"/>
  <c r="L300" i="30" s="1"/>
  <c r="D28" i="18"/>
  <c r="F315" i="30" s="1"/>
  <c r="H36" i="11"/>
  <c r="D8" i="30"/>
  <c r="B63" i="11"/>
  <c r="L56" i="9"/>
  <c r="R231" i="30" s="1"/>
  <c r="L57" i="9"/>
  <c r="R232" i="30" s="1"/>
  <c r="K56" i="9"/>
  <c r="Q231" i="30" s="1"/>
  <c r="I52" i="9"/>
  <c r="O227" i="30" s="1"/>
  <c r="H6" i="18"/>
  <c r="D12" i="26"/>
  <c r="E12" i="26" s="1"/>
  <c r="B38" i="17"/>
  <c r="D199" i="30" s="1"/>
  <c r="D204" i="30" s="1"/>
  <c r="D205" i="30" s="1"/>
  <c r="J69" i="11"/>
  <c r="O57" i="9"/>
  <c r="U232" i="30" s="1"/>
  <c r="I63" i="11"/>
  <c r="B24" i="18"/>
  <c r="D311" i="30" s="1"/>
  <c r="C31" i="17"/>
  <c r="C74" i="17"/>
  <c r="I55" i="9"/>
  <c r="O230" i="30" s="1"/>
  <c r="K69" i="11"/>
  <c r="B10" i="9"/>
  <c r="L52" i="9"/>
  <c r="R227" i="30" s="1"/>
  <c r="J53" i="9"/>
  <c r="P228" i="30" s="1"/>
  <c r="F1" i="18"/>
  <c r="L69" i="11"/>
  <c r="F14" i="9"/>
  <c r="M4" i="11"/>
  <c r="G333" i="30" s="1"/>
  <c r="B23" i="9"/>
  <c r="C4" i="11"/>
  <c r="B254" i="7"/>
  <c r="B13" i="9"/>
  <c r="K42" i="9"/>
  <c r="C30" i="18"/>
  <c r="E317" i="30" s="1"/>
  <c r="M26" i="11"/>
  <c r="G351" i="30" s="1"/>
  <c r="B33" i="18"/>
  <c r="D320" i="30" s="1"/>
  <c r="D32" i="17"/>
  <c r="Q196" i="30" s="1"/>
  <c r="D33" i="17"/>
  <c r="Q197" i="30" s="1"/>
  <c r="M31" i="11"/>
  <c r="G356" i="30" s="1"/>
  <c r="C33" i="18"/>
  <c r="E320" i="30" s="1"/>
  <c r="L29" i="11"/>
  <c r="E33" i="17"/>
  <c r="R197" i="30" s="1"/>
  <c r="E34" i="17"/>
  <c r="R198" i="30" s="1"/>
  <c r="K44" i="9"/>
  <c r="L62" i="11"/>
  <c r="F387" i="30" s="1"/>
  <c r="F32" i="18"/>
  <c r="H319" i="30" s="1"/>
  <c r="L46" i="11"/>
  <c r="F371" i="30" s="1"/>
  <c r="L36" i="11"/>
  <c r="F361" i="30" s="1"/>
  <c r="D32" i="18"/>
  <c r="F319" i="30" s="1"/>
  <c r="G23" i="9"/>
  <c r="M10" i="11" s="1"/>
  <c r="J45" i="9"/>
  <c r="H14" i="18"/>
  <c r="E32" i="17"/>
  <c r="R196" i="30" s="1"/>
  <c r="K21" i="11"/>
  <c r="G21" i="9"/>
  <c r="K10" i="11" s="1"/>
  <c r="M24" i="11"/>
  <c r="G349" i="30" s="1"/>
  <c r="M62" i="11"/>
  <c r="G387" i="30" s="1"/>
  <c r="I42" i="9"/>
  <c r="J21" i="11"/>
  <c r="E37" i="30" s="1"/>
  <c r="E77" i="30" s="1"/>
  <c r="E218" i="30" s="1"/>
  <c r="G20" i="9"/>
  <c r="J10" i="11" s="1"/>
  <c r="J33" i="17"/>
  <c r="L58" i="30"/>
  <c r="J44" i="9"/>
  <c r="J61" i="9" s="1"/>
  <c r="P236" i="30" s="1"/>
  <c r="B32" i="18"/>
  <c r="D319" i="30" s="1"/>
  <c r="G22" i="9"/>
  <c r="L10" i="11" s="1"/>
  <c r="D64" i="11" l="1"/>
  <c r="L297" i="30"/>
  <c r="E64" i="11"/>
  <c r="L298" i="30"/>
  <c r="J299" i="30"/>
  <c r="C38" i="17"/>
  <c r="E199" i="30" s="1"/>
  <c r="E204" i="30" s="1"/>
  <c r="E205" i="30" s="1"/>
  <c r="P195" i="30"/>
  <c r="J38" i="17"/>
  <c r="L199" i="30" s="1"/>
  <c r="L204" i="30" s="1"/>
  <c r="L205" i="30" s="1"/>
  <c r="W197" i="30"/>
  <c r="E11" i="30"/>
  <c r="F11" i="30" s="1"/>
  <c r="F73" i="11"/>
  <c r="F147" i="30"/>
  <c r="J202" i="30"/>
  <c r="J208" i="30" s="1"/>
  <c r="J224" i="30" s="1"/>
  <c r="J241" i="30" s="1"/>
  <c r="J247" i="30" s="1"/>
  <c r="J253" i="30" s="1"/>
  <c r="J280" i="30" s="1"/>
  <c r="J275" i="30" s="1"/>
  <c r="F151" i="30"/>
  <c r="F144" i="30"/>
  <c r="F152" i="30"/>
  <c r="F79" i="30"/>
  <c r="F220" i="30" s="1"/>
  <c r="D80" i="30"/>
  <c r="D221" i="30" s="1"/>
  <c r="H79" i="30"/>
  <c r="H220" i="30" s="1"/>
  <c r="H236" i="30" s="1"/>
  <c r="D56" i="23"/>
  <c r="N61" i="9"/>
  <c r="T236" i="30" s="1"/>
  <c r="D79" i="30"/>
  <c r="D220" i="30" s="1"/>
  <c r="D237" i="30" s="1"/>
  <c r="I73" i="11"/>
  <c r="G80" i="30"/>
  <c r="G221" i="30" s="1"/>
  <c r="E80" i="30"/>
  <c r="E221" i="30" s="1"/>
  <c r="D266" i="30"/>
  <c r="D268" i="30"/>
  <c r="D272" i="30" s="1"/>
  <c r="E383" i="30"/>
  <c r="J79" i="30"/>
  <c r="J220" i="30" s="1"/>
  <c r="F385" i="30"/>
  <c r="J12" i="11"/>
  <c r="H78" i="30"/>
  <c r="H219" i="30" s="1"/>
  <c r="J305" i="30"/>
  <c r="E79" i="30"/>
  <c r="E220" i="30" s="1"/>
  <c r="J306" i="30"/>
  <c r="G235" i="30"/>
  <c r="U22" i="32"/>
  <c r="D268" i="27" s="1"/>
  <c r="D78" i="30"/>
  <c r="D219" i="30" s="1"/>
  <c r="H268" i="30"/>
  <c r="Q10" i="26"/>
  <c r="E109" i="30"/>
  <c r="F263" i="30"/>
  <c r="E269" i="30"/>
  <c r="E272" i="30" s="1"/>
  <c r="L12" i="11"/>
  <c r="D18" i="30" s="1"/>
  <c r="G58" i="30"/>
  <c r="G79" i="30" s="1"/>
  <c r="G220" i="30" s="1"/>
  <c r="G236" i="30" s="1"/>
  <c r="F354" i="30"/>
  <c r="F383" i="30" s="1"/>
  <c r="F391" i="30" s="1"/>
  <c r="K40" i="30"/>
  <c r="K80" i="30" s="1"/>
  <c r="K221" i="30" s="1"/>
  <c r="G375" i="30"/>
  <c r="F38" i="30"/>
  <c r="F78" i="30" s="1"/>
  <c r="F219" i="30" s="1"/>
  <c r="F235" i="30" s="1"/>
  <c r="E350" i="30"/>
  <c r="Y28" i="32"/>
  <c r="V28" i="32"/>
  <c r="D261" i="7" s="1"/>
  <c r="X28" i="32"/>
  <c r="W28" i="32"/>
  <c r="D275" i="7" s="1"/>
  <c r="E385" i="30"/>
  <c r="V8" i="32"/>
  <c r="C261" i="7" s="1"/>
  <c r="W8" i="32"/>
  <c r="C275" i="7" s="1"/>
  <c r="Y8" i="32"/>
  <c r="X8" i="32"/>
  <c r="J303" i="30"/>
  <c r="M64" i="11"/>
  <c r="G389" i="30" s="1"/>
  <c r="L306" i="30"/>
  <c r="G385" i="30"/>
  <c r="J40" i="30"/>
  <c r="J80" i="30" s="1"/>
  <c r="J221" i="30" s="1"/>
  <c r="G370" i="30"/>
  <c r="H40" i="30"/>
  <c r="H80" i="30" s="1"/>
  <c r="H221" i="30" s="1"/>
  <c r="G360" i="30"/>
  <c r="E267" i="27"/>
  <c r="S41" i="32"/>
  <c r="U42" i="32" s="1"/>
  <c r="E268" i="27" s="1"/>
  <c r="L64" i="11"/>
  <c r="F389" i="30" s="1"/>
  <c r="F393" i="30" s="1"/>
  <c r="L305" i="30"/>
  <c r="E38" i="30"/>
  <c r="E78" i="30" s="1"/>
  <c r="E219" i="30" s="1"/>
  <c r="E235" i="30" s="1"/>
  <c r="E346" i="30"/>
  <c r="G383" i="30"/>
  <c r="G391" i="30" s="1"/>
  <c r="J304" i="30"/>
  <c r="D267" i="27"/>
  <c r="J205" i="30"/>
  <c r="F149" i="30"/>
  <c r="E6" i="11"/>
  <c r="F150" i="30"/>
  <c r="F148" i="30"/>
  <c r="N123" i="7"/>
  <c r="O123" i="7" s="1"/>
  <c r="P123" i="7" s="1"/>
  <c r="Q123" i="7" s="1"/>
  <c r="H231" i="30"/>
  <c r="F233" i="30"/>
  <c r="G231" i="30"/>
  <c r="G232" i="30"/>
  <c r="G227" i="30"/>
  <c r="J233" i="30"/>
  <c r="E234" i="30"/>
  <c r="F231" i="30"/>
  <c r="H295" i="30"/>
  <c r="G233" i="30"/>
  <c r="K233" i="30"/>
  <c r="H275" i="30"/>
  <c r="F295" i="30"/>
  <c r="F234" i="30"/>
  <c r="G228" i="30"/>
  <c r="H230" i="30"/>
  <c r="G230" i="30"/>
  <c r="K232" i="30"/>
  <c r="J229" i="30"/>
  <c r="F232" i="30"/>
  <c r="F230" i="30"/>
  <c r="J232" i="30"/>
  <c r="G229" i="30"/>
  <c r="G234" i="30"/>
  <c r="H232" i="30"/>
  <c r="H233" i="30"/>
  <c r="E90" i="30"/>
  <c r="E212" i="30"/>
  <c r="E228" i="30" s="1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J92" i="30"/>
  <c r="J214" i="30"/>
  <c r="J230" i="30" s="1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J94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K12" i="11"/>
  <c r="G86" i="30"/>
  <c r="G97" i="30"/>
  <c r="F94" i="30"/>
  <c r="G94" i="30"/>
  <c r="M12" i="11"/>
  <c r="D19" i="30" s="1"/>
  <c r="G30" i="18"/>
  <c r="I317" i="30" s="1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L54" i="11"/>
  <c r="G32" i="18"/>
  <c r="I319" i="30" s="1"/>
  <c r="G31" i="18"/>
  <c r="I318" i="30" s="1"/>
  <c r="K54" i="11"/>
  <c r="M54" i="11"/>
  <c r="G33" i="18"/>
  <c r="I320" i="30" s="1"/>
  <c r="K38" i="30"/>
  <c r="K78" i="30" s="1"/>
  <c r="K219" i="30" s="1"/>
  <c r="J37" i="30"/>
  <c r="M30" i="30"/>
  <c r="F20" i="9"/>
  <c r="J63" i="11"/>
  <c r="M63" i="11"/>
  <c r="G388" i="30" s="1"/>
  <c r="F22" i="9"/>
  <c r="L63" i="11"/>
  <c r="F388" i="30" s="1"/>
  <c r="K63" i="11"/>
  <c r="E388" i="30" s="1"/>
  <c r="F72" i="11"/>
  <c r="G12" i="30"/>
  <c r="H12" i="30" s="1"/>
  <c r="I12" i="30" s="1"/>
  <c r="D72" i="11"/>
  <c r="G10" i="30"/>
  <c r="H10" i="30" s="1"/>
  <c r="I10" i="30" s="1"/>
  <c r="O60" i="9"/>
  <c r="U235" i="30" s="1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D15" i="30"/>
  <c r="I60" i="11"/>
  <c r="D70" i="30"/>
  <c r="D211" i="30" s="1"/>
  <c r="D69" i="30"/>
  <c r="D210" i="30" s="1"/>
  <c r="E60" i="1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N234" i="30" s="1"/>
  <c r="J60" i="11"/>
  <c r="K60" i="11"/>
  <c r="P60" i="9"/>
  <c r="V235" i="30" s="1"/>
  <c r="C222" i="7"/>
  <c r="C225" i="7"/>
  <c r="C220" i="7"/>
  <c r="C223" i="7"/>
  <c r="L58" i="11"/>
  <c r="G18" i="30" s="1"/>
  <c r="C221" i="7"/>
  <c r="L60" i="11"/>
  <c r="C219" i="7"/>
  <c r="C230" i="7"/>
  <c r="C228" i="7"/>
  <c r="C226" i="7"/>
  <c r="C229" i="7"/>
  <c r="C224" i="7"/>
  <c r="C227" i="7"/>
  <c r="L61" i="9"/>
  <c r="R236" i="30" s="1"/>
  <c r="M60" i="11"/>
  <c r="B73" i="11"/>
  <c r="D74" i="11"/>
  <c r="P61" i="9"/>
  <c r="V236" i="30" s="1"/>
  <c r="H60" i="9"/>
  <c r="N235" i="30" s="1"/>
  <c r="G72" i="11"/>
  <c r="L62" i="9"/>
  <c r="R237" i="30" s="1"/>
  <c r="H62" i="9"/>
  <c r="N237" i="30" s="1"/>
  <c r="H61" i="9"/>
  <c r="N236" i="30" s="1"/>
  <c r="F35" i="18"/>
  <c r="H321" i="30" s="1"/>
  <c r="P62" i="9"/>
  <c r="V237" i="30" s="1"/>
  <c r="I62" i="9"/>
  <c r="O237" i="30" s="1"/>
  <c r="J64" i="11"/>
  <c r="N62" i="9"/>
  <c r="O61" i="9"/>
  <c r="L60" i="9"/>
  <c r="R235" i="30" s="1"/>
  <c r="F23" i="9"/>
  <c r="E89" i="17"/>
  <c r="E94" i="17" s="1"/>
  <c r="E99" i="17" s="1"/>
  <c r="F17" i="9"/>
  <c r="F21" i="9"/>
  <c r="D51" i="23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B36" i="17"/>
  <c r="B17" i="17" s="1"/>
  <c r="N16" i="11" s="1"/>
  <c r="C84" i="17"/>
  <c r="C89" i="17" s="1"/>
  <c r="C94" i="17" s="1"/>
  <c r="C99" i="17" s="1"/>
  <c r="G64" i="11"/>
  <c r="G74" i="11" s="1"/>
  <c r="H36" i="17"/>
  <c r="H17" i="17" s="1"/>
  <c r="H40" i="17"/>
  <c r="F38" i="17"/>
  <c r="H199" i="30" s="1"/>
  <c r="F18" i="9"/>
  <c r="I64" i="11"/>
  <c r="H64" i="11"/>
  <c r="K64" i="11"/>
  <c r="E389" i="30" s="1"/>
  <c r="D35" i="18"/>
  <c r="F321" i="30" s="1"/>
  <c r="D38" i="17"/>
  <c r="J83" i="17"/>
  <c r="F88" i="17" s="1"/>
  <c r="F93" i="17" s="1"/>
  <c r="F98" i="17" s="1"/>
  <c r="J59" i="9"/>
  <c r="P234" i="30" s="1"/>
  <c r="H8" i="18"/>
  <c r="B26" i="18"/>
  <c r="D313" i="30" s="1"/>
  <c r="F26" i="11"/>
  <c r="F60" i="11" s="1"/>
  <c r="I36" i="17"/>
  <c r="I17" i="17" s="1"/>
  <c r="I40" i="17"/>
  <c r="L59" i="9"/>
  <c r="R234" i="30" s="1"/>
  <c r="C35" i="18"/>
  <c r="E321" i="30" s="1"/>
  <c r="I124" i="7"/>
  <c r="F18" i="26"/>
  <c r="D83" i="17"/>
  <c r="D88" i="17" s="1"/>
  <c r="D93" i="17" s="1"/>
  <c r="D98" i="17" s="1"/>
  <c r="F13" i="9"/>
  <c r="D13" i="9"/>
  <c r="E13" i="9" s="1"/>
  <c r="I59" i="9"/>
  <c r="O234" i="30" s="1"/>
  <c r="I60" i="9"/>
  <c r="O235" i="30" s="1"/>
  <c r="K60" i="9"/>
  <c r="Q235" i="30" s="1"/>
  <c r="K59" i="9"/>
  <c r="Q234" i="30" s="1"/>
  <c r="J36" i="17"/>
  <c r="J17" i="17" s="1"/>
  <c r="J40" i="17"/>
  <c r="K61" i="9"/>
  <c r="Q236" i="30" s="1"/>
  <c r="K62" i="9"/>
  <c r="Q237" i="30" s="1"/>
  <c r="K62" i="11"/>
  <c r="E387" i="30" s="1"/>
  <c r="J62" i="9"/>
  <c r="P237" i="30" s="1"/>
  <c r="F64" i="11" l="1"/>
  <c r="L299" i="30"/>
  <c r="E74" i="11"/>
  <c r="B35" i="18"/>
  <c r="D321" i="30" s="1"/>
  <c r="H237" i="30"/>
  <c r="H98" i="30"/>
  <c r="E391" i="30"/>
  <c r="E237" i="30"/>
  <c r="F98" i="30"/>
  <c r="H86" i="30"/>
  <c r="D236" i="30"/>
  <c r="D99" i="30"/>
  <c r="J99" i="30"/>
  <c r="L74" i="11"/>
  <c r="D86" i="30"/>
  <c r="D98" i="30"/>
  <c r="K237" i="30"/>
  <c r="M74" i="11"/>
  <c r="E99" i="30"/>
  <c r="E86" i="30"/>
  <c r="E236" i="30"/>
  <c r="E98" i="30"/>
  <c r="E97" i="30"/>
  <c r="H99" i="30"/>
  <c r="F109" i="30"/>
  <c r="G109" i="30" s="1"/>
  <c r="K269" i="30"/>
  <c r="E113" i="30"/>
  <c r="F269" i="30"/>
  <c r="F264" i="30"/>
  <c r="G263" i="30"/>
  <c r="H263" i="30" s="1"/>
  <c r="L40" i="30"/>
  <c r="M40" i="30" s="1"/>
  <c r="G379" i="30"/>
  <c r="G384" i="30" s="1"/>
  <c r="G392" i="30" s="1"/>
  <c r="D36" i="17"/>
  <c r="D17" i="17" s="1"/>
  <c r="N24" i="11" s="1"/>
  <c r="F199" i="30"/>
  <c r="F204" i="30" s="1"/>
  <c r="E40" i="17"/>
  <c r="G199" i="30"/>
  <c r="G204" i="30" s="1"/>
  <c r="G205" i="30" s="1"/>
  <c r="N66" i="9"/>
  <c r="J238" i="30" s="1"/>
  <c r="J243" i="30" s="1"/>
  <c r="T237" i="30"/>
  <c r="F236" i="30"/>
  <c r="V238" i="30"/>
  <c r="M58" i="30"/>
  <c r="L38" i="30"/>
  <c r="L78" i="30" s="1"/>
  <c r="L219" i="30" s="1"/>
  <c r="L235" i="30" s="1"/>
  <c r="W235" i="30" s="1"/>
  <c r="E379" i="30"/>
  <c r="E384" i="30" s="1"/>
  <c r="E392" i="30" s="1"/>
  <c r="F97" i="30"/>
  <c r="G99" i="30"/>
  <c r="G237" i="30"/>
  <c r="G393" i="30"/>
  <c r="L39" i="30"/>
  <c r="L79" i="30" s="1"/>
  <c r="L220" i="30" s="1"/>
  <c r="F379" i="30"/>
  <c r="F384" i="30" s="1"/>
  <c r="F392" i="30" s="1"/>
  <c r="D60" i="30"/>
  <c r="H341" i="30"/>
  <c r="O66" i="9"/>
  <c r="K238" i="30" s="1"/>
  <c r="K243" i="30" s="1"/>
  <c r="K249" i="30" s="1"/>
  <c r="K282" i="30" s="1"/>
  <c r="U236" i="30"/>
  <c r="J59" i="11"/>
  <c r="J73" i="11" s="1"/>
  <c r="F86" i="30"/>
  <c r="G98" i="30"/>
  <c r="E393" i="30"/>
  <c r="N124" i="7"/>
  <c r="O124" i="7" s="1"/>
  <c r="P124" i="7" s="1"/>
  <c r="Q124" i="7" s="1"/>
  <c r="F309" i="30"/>
  <c r="F324" i="30"/>
  <c r="H309" i="30"/>
  <c r="H324" i="30"/>
  <c r="D230" i="30"/>
  <c r="D227" i="30"/>
  <c r="E229" i="30"/>
  <c r="J231" i="30"/>
  <c r="J236" i="30"/>
  <c r="E233" i="30"/>
  <c r="F229" i="30"/>
  <c r="E231" i="30"/>
  <c r="J237" i="30"/>
  <c r="H229" i="30"/>
  <c r="K236" i="30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G35" i="18"/>
  <c r="I321" i="30" s="1"/>
  <c r="J86" i="30"/>
  <c r="J98" i="30"/>
  <c r="D97" i="30"/>
  <c r="K86" i="30"/>
  <c r="K97" i="30"/>
  <c r="K99" i="30"/>
  <c r="M59" i="30"/>
  <c r="F80" i="30"/>
  <c r="M37" i="30"/>
  <c r="J77" i="30"/>
  <c r="M59" i="11"/>
  <c r="M73" i="11" s="1"/>
  <c r="M72" i="11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H66" i="9"/>
  <c r="F74" i="11"/>
  <c r="J74" i="11"/>
  <c r="P66" i="9"/>
  <c r="I74" i="11"/>
  <c r="H74" i="11"/>
  <c r="F27" i="9"/>
  <c r="K72" i="11"/>
  <c r="T13" i="26"/>
  <c r="Q16" i="26"/>
  <c r="K272" i="30" s="1"/>
  <c r="J66" i="9"/>
  <c r="D40" i="17"/>
  <c r="E36" i="17"/>
  <c r="E17" i="17" s="1"/>
  <c r="N29" i="11" s="1"/>
  <c r="J94" i="17"/>
  <c r="L94" i="17" s="1"/>
  <c r="B99" i="17"/>
  <c r="B18" i="17"/>
  <c r="O16" i="11" s="1"/>
  <c r="C18" i="17"/>
  <c r="O20" i="11" s="1"/>
  <c r="N20" i="11"/>
  <c r="H18" i="17"/>
  <c r="N44" i="11"/>
  <c r="I125" i="7"/>
  <c r="F19" i="26"/>
  <c r="N49" i="1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G238" i="30" s="1"/>
  <c r="G243" i="30" s="1"/>
  <c r="I66" i="9"/>
  <c r="E238" i="30" s="1"/>
  <c r="E243" i="30" s="1"/>
  <c r="E244" i="30" s="1"/>
  <c r="E250" i="30" s="1"/>
  <c r="J18" i="17"/>
  <c r="L60" i="30"/>
  <c r="H109" i="30" l="1"/>
  <c r="I345" i="30"/>
  <c r="G249" i="30"/>
  <c r="G282" i="30" s="1"/>
  <c r="I374" i="30"/>
  <c r="I341" i="30"/>
  <c r="M38" i="30"/>
  <c r="L236" i="30"/>
  <c r="W236" i="30" s="1"/>
  <c r="L97" i="30"/>
  <c r="L86" i="30"/>
  <c r="L80" i="30"/>
  <c r="L99" i="30" s="1"/>
  <c r="M39" i="30"/>
  <c r="L98" i="30"/>
  <c r="G244" i="30"/>
  <c r="G250" i="30" s="1"/>
  <c r="G283" i="30" s="1"/>
  <c r="N124" i="30"/>
  <c r="M269" i="30"/>
  <c r="G113" i="30"/>
  <c r="L124" i="30" s="1"/>
  <c r="M124" i="30" s="1"/>
  <c r="L122" i="30"/>
  <c r="M122" i="30" s="1"/>
  <c r="N122" i="30"/>
  <c r="N123" i="30"/>
  <c r="L269" i="30"/>
  <c r="F113" i="30"/>
  <c r="L123" i="30" s="1"/>
  <c r="M123" i="30" s="1"/>
  <c r="G269" i="30"/>
  <c r="G264" i="30"/>
  <c r="F266" i="30"/>
  <c r="F270" i="30"/>
  <c r="F272" i="30" s="1"/>
  <c r="T7" i="26"/>
  <c r="L270" i="30" s="1"/>
  <c r="F60" i="30"/>
  <c r="H349" i="30"/>
  <c r="D18" i="17"/>
  <c r="O24" i="11" s="1"/>
  <c r="O64" i="9"/>
  <c r="O46" i="9" s="1"/>
  <c r="O47" i="9" s="1"/>
  <c r="O70" i="9" s="1"/>
  <c r="K60" i="30"/>
  <c r="H374" i="30"/>
  <c r="J64" i="9"/>
  <c r="J46" i="9" s="1"/>
  <c r="J69" i="9" s="1"/>
  <c r="F238" i="30"/>
  <c r="N64" i="9"/>
  <c r="N46" i="9" s="1"/>
  <c r="N47" i="9" s="1"/>
  <c r="N70" i="9" s="1"/>
  <c r="E249" i="30"/>
  <c r="E282" i="30" s="1"/>
  <c r="E60" i="30"/>
  <c r="H345" i="30"/>
  <c r="H64" i="9"/>
  <c r="H46" i="9" s="1"/>
  <c r="H69" i="9" s="1"/>
  <c r="H77" i="9" s="1"/>
  <c r="D238" i="30"/>
  <c r="D243" i="30" s="1"/>
  <c r="K244" i="30"/>
  <c r="K250" i="30" s="1"/>
  <c r="K283" i="30" s="1"/>
  <c r="G60" i="30"/>
  <c r="H354" i="30"/>
  <c r="L64" i="9"/>
  <c r="L46" i="9" s="1"/>
  <c r="L47" i="9" s="1"/>
  <c r="H238" i="30"/>
  <c r="H243" i="30" s="1"/>
  <c r="F205" i="30"/>
  <c r="M205" i="30" s="1"/>
  <c r="M204" i="30"/>
  <c r="J60" i="30"/>
  <c r="H369" i="30"/>
  <c r="N125" i="7"/>
  <c r="O125" i="7" s="1"/>
  <c r="P125" i="7" s="1"/>
  <c r="Q125" i="7" s="1"/>
  <c r="K235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F99" i="30"/>
  <c r="F221" i="30"/>
  <c r="J96" i="30"/>
  <c r="J218" i="30"/>
  <c r="P64" i="9"/>
  <c r="P46" i="9" s="1"/>
  <c r="P47" i="9" s="1"/>
  <c r="P70" i="9" s="1"/>
  <c r="P89" i="9"/>
  <c r="L17" i="17"/>
  <c r="N62" i="11" s="1"/>
  <c r="H387" i="30" s="1"/>
  <c r="J97" i="30"/>
  <c r="E61" i="30"/>
  <c r="K61" i="30"/>
  <c r="D61" i="30"/>
  <c r="O44" i="11"/>
  <c r="E17" i="30"/>
  <c r="F17" i="30" s="1"/>
  <c r="E18" i="30"/>
  <c r="F18" i="30" s="1"/>
  <c r="E18" i="17"/>
  <c r="O29" i="11" s="1"/>
  <c r="F20" i="26"/>
  <c r="I126" i="7"/>
  <c r="B98" i="17"/>
  <c r="J93" i="17"/>
  <c r="L93" i="17" s="1"/>
  <c r="F18" i="17"/>
  <c r="O34" i="11" s="1"/>
  <c r="N34" i="11"/>
  <c r="H359" i="30" s="1"/>
  <c r="I64" i="9"/>
  <c r="I46" i="9" s="1"/>
  <c r="K64" i="9"/>
  <c r="K46" i="9" s="1"/>
  <c r="L61" i="30"/>
  <c r="L221" i="30" l="1"/>
  <c r="I359" i="30"/>
  <c r="I349" i="30"/>
  <c r="I369" i="30"/>
  <c r="I354" i="30"/>
  <c r="H47" i="9"/>
  <c r="H70" i="9" s="1"/>
  <c r="H78" i="9" s="1"/>
  <c r="O124" i="30"/>
  <c r="O69" i="9"/>
  <c r="O77" i="9" s="1"/>
  <c r="L69" i="9"/>
  <c r="L77" i="9" s="1"/>
  <c r="R10" i="26"/>
  <c r="R16" i="26"/>
  <c r="L272" i="30" s="1"/>
  <c r="O123" i="30"/>
  <c r="F12" i="26"/>
  <c r="G85" i="9"/>
  <c r="N7" i="11" s="1"/>
  <c r="H336" i="30" s="1"/>
  <c r="H264" i="30"/>
  <c r="G265" i="30"/>
  <c r="G270" i="30"/>
  <c r="H270" i="30" s="1"/>
  <c r="H113" i="30"/>
  <c r="H269" i="30"/>
  <c r="O122" i="30"/>
  <c r="M125" i="30"/>
  <c r="N69" i="9"/>
  <c r="N77" i="9" s="1"/>
  <c r="J47" i="9"/>
  <c r="J70" i="9" s="1"/>
  <c r="J78" i="9" s="1"/>
  <c r="P69" i="9"/>
  <c r="P77" i="9" s="1"/>
  <c r="F61" i="30"/>
  <c r="H249" i="30"/>
  <c r="H282" i="30" s="1"/>
  <c r="H244" i="30"/>
  <c r="H250" i="30" s="1"/>
  <c r="H283" i="30" s="1"/>
  <c r="D244" i="30"/>
  <c r="D250" i="30" s="1"/>
  <c r="D283" i="30" s="1"/>
  <c r="D249" i="30"/>
  <c r="D282" i="30" s="1"/>
  <c r="H383" i="30"/>
  <c r="H391" i="30" s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G61" i="30"/>
  <c r="J61" i="30"/>
  <c r="H61" i="30"/>
  <c r="N58" i="11"/>
  <c r="H60" i="30"/>
  <c r="M60" i="30" s="1"/>
  <c r="O58" i="11"/>
  <c r="N78" i="9"/>
  <c r="F21" i="26"/>
  <c r="I127" i="7"/>
  <c r="L70" i="9"/>
  <c r="K47" i="9"/>
  <c r="K70" i="9" s="1"/>
  <c r="K69" i="9"/>
  <c r="O78" i="9"/>
  <c r="P78" i="9"/>
  <c r="I47" i="9"/>
  <c r="I70" i="9" s="1"/>
  <c r="I69" i="9"/>
  <c r="J77" i="9"/>
  <c r="I383" i="30" l="1"/>
  <c r="I391" i="30"/>
  <c r="M270" i="30"/>
  <c r="S8" i="26"/>
  <c r="T8" i="26" s="1"/>
  <c r="S9" i="26"/>
  <c r="T9" i="26" s="1"/>
  <c r="T14" i="26"/>
  <c r="T15" i="26"/>
  <c r="M271" i="30"/>
  <c r="H265" i="30"/>
  <c r="G271" i="30"/>
  <c r="H271" i="30" s="1"/>
  <c r="G266" i="30"/>
  <c r="H266" i="30" s="1"/>
  <c r="G86" i="9"/>
  <c r="O7" i="11" s="1"/>
  <c r="I336" i="30" s="1"/>
  <c r="G21" i="30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J219" i="7"/>
  <c r="J261" i="7" s="1"/>
  <c r="I128" i="7"/>
  <c r="F22" i="26"/>
  <c r="I77" i="9"/>
  <c r="G69" i="9"/>
  <c r="K77" i="9"/>
  <c r="I78" i="9"/>
  <c r="G70" i="9"/>
  <c r="K78" i="9"/>
  <c r="G272" i="30" l="1"/>
  <c r="H272" i="30" s="1"/>
  <c r="S10" i="26"/>
  <c r="T10" i="26" s="1"/>
  <c r="M86" i="9"/>
  <c r="I289" i="30" s="1"/>
  <c r="T16" i="26"/>
  <c r="M272" i="30"/>
  <c r="H21" i="30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27" i="26"/>
  <c r="J3" i="26" s="1"/>
  <c r="K3" i="26" l="1"/>
  <c r="G4" i="26"/>
  <c r="H4" i="26" s="1"/>
  <c r="F28" i="26" s="1"/>
  <c r="O134" i="7"/>
  <c r="P134" i="7" s="1"/>
  <c r="Q134" i="7" s="1"/>
  <c r="N244" i="7"/>
  <c r="J226" i="7"/>
  <c r="I135" i="7" l="1"/>
  <c r="N135" i="7" s="1"/>
  <c r="O135" i="7" s="1"/>
  <c r="P135" i="7" s="1"/>
  <c r="Q135" i="7" s="1"/>
  <c r="F29" i="26"/>
  <c r="I136" i="7" s="1"/>
  <c r="E154" i="30"/>
  <c r="F154" i="30" s="1"/>
  <c r="C16" i="23"/>
  <c r="C59" i="23" s="1"/>
  <c r="D59" i="23" s="1"/>
  <c r="O244" i="7"/>
  <c r="P244" i="7" s="1"/>
  <c r="G5" i="11"/>
  <c r="C17" i="9"/>
  <c r="D17" i="9" s="1"/>
  <c r="E17" i="9" s="1"/>
  <c r="J227" i="7"/>
  <c r="F30" i="26" l="1"/>
  <c r="N136" i="7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I146" i="7"/>
  <c r="N146" i="7" s="1"/>
  <c r="G39" i="26"/>
  <c r="J4" i="26" s="1"/>
  <c r="K4" i="26" l="1"/>
  <c r="G5" i="26"/>
  <c r="H5" i="26" s="1"/>
  <c r="F40" i="26" s="1"/>
  <c r="O146" i="7"/>
  <c r="P146" i="7" s="1"/>
  <c r="Q146" i="7" s="1"/>
  <c r="N245" i="7"/>
  <c r="F41" i="26" l="1"/>
  <c r="I147" i="7"/>
  <c r="N147" i="7" s="1"/>
  <c r="O147" i="7" s="1"/>
  <c r="P147" i="7" s="1"/>
  <c r="Q147" i="7" s="1"/>
  <c r="C17" i="23"/>
  <c r="C60" i="23" s="1"/>
  <c r="D60" i="23" s="1"/>
  <c r="E155" i="30"/>
  <c r="F155" i="30" s="1"/>
  <c r="C18" i="9"/>
  <c r="D18" i="9" s="1"/>
  <c r="E18" i="9" s="1"/>
  <c r="O245" i="7"/>
  <c r="P245" i="7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I158" i="7"/>
  <c r="N158" i="7" s="1"/>
  <c r="G51" i="26"/>
  <c r="J5" i="26" s="1"/>
  <c r="G6" i="26" l="1"/>
  <c r="H6" i="26" s="1"/>
  <c r="F52" i="26" s="1"/>
  <c r="K5" i="26"/>
  <c r="O158" i="7"/>
  <c r="P158" i="7" s="1"/>
  <c r="Q158" i="7" s="1"/>
  <c r="N246" i="7"/>
  <c r="I159" i="7" l="1"/>
  <c r="N159" i="7" s="1"/>
  <c r="O159" i="7" s="1"/>
  <c r="P159" i="7" s="1"/>
  <c r="Q159" i="7" s="1"/>
  <c r="F53" i="26"/>
  <c r="F54" i="26" s="1"/>
  <c r="E156" i="30"/>
  <c r="F156" i="30" s="1"/>
  <c r="C18" i="23"/>
  <c r="C61" i="23" s="1"/>
  <c r="D61" i="23" s="1"/>
  <c r="I5" i="11"/>
  <c r="O246" i="7"/>
  <c r="P246" i="7" s="1"/>
  <c r="C19" i="9"/>
  <c r="D19" i="9" s="1"/>
  <c r="E19" i="9" s="1"/>
  <c r="I160" i="7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I170" i="7"/>
  <c r="N170" i="7" s="1"/>
  <c r="G63" i="26"/>
  <c r="J6" i="26" s="1"/>
  <c r="G7" i="26" l="1"/>
  <c r="H7" i="26" s="1"/>
  <c r="F64" i="26" s="1"/>
  <c r="K6" i="26"/>
  <c r="O170" i="7"/>
  <c r="P170" i="7" s="1"/>
  <c r="Q170" i="7" s="1"/>
  <c r="N247" i="7"/>
  <c r="F65" i="26" l="1"/>
  <c r="I171" i="7"/>
  <c r="N171" i="7" s="1"/>
  <c r="O171" i="7" s="1"/>
  <c r="P171" i="7" s="1"/>
  <c r="Q171" i="7" s="1"/>
  <c r="C19" i="23"/>
  <c r="C62" i="23" s="1"/>
  <c r="E157" i="30"/>
  <c r="F157" i="30" s="1"/>
  <c r="J5" i="11"/>
  <c r="C20" i="9"/>
  <c r="O247" i="7"/>
  <c r="P247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I182" i="7"/>
  <c r="N182" i="7" s="1"/>
  <c r="G75" i="26"/>
  <c r="J7" i="26" s="1"/>
  <c r="K7" i="26" l="1"/>
  <c r="G8" i="26"/>
  <c r="H8" i="26" s="1"/>
  <c r="F76" i="26" s="1"/>
  <c r="O182" i="7"/>
  <c r="P182" i="7" s="1"/>
  <c r="Q182" i="7" s="1"/>
  <c r="N248" i="7"/>
  <c r="F77" i="26" l="1"/>
  <c r="F78" i="26" s="1"/>
  <c r="I183" i="7"/>
  <c r="N183" i="7" s="1"/>
  <c r="O183" i="7" s="1"/>
  <c r="P183" i="7" s="1"/>
  <c r="Q183" i="7" s="1"/>
  <c r="E158" i="30"/>
  <c r="F158" i="30" s="1"/>
  <c r="C20" i="23"/>
  <c r="C63" i="23" s="1"/>
  <c r="K5" i="11"/>
  <c r="E334" i="30" s="1"/>
  <c r="E335" i="30" s="1"/>
  <c r="O248" i="7"/>
  <c r="P248" i="7" s="1"/>
  <c r="C21" i="9"/>
  <c r="I184" i="7" l="1"/>
  <c r="N184" i="7" s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I194" i="7"/>
  <c r="N194" i="7" s="1"/>
  <c r="G87" i="26"/>
  <c r="J8" i="26" s="1"/>
  <c r="K8" i="26" s="1"/>
  <c r="G9" i="26" l="1"/>
  <c r="H9" i="26" s="1"/>
  <c r="F88" i="26" s="1"/>
  <c r="O194" i="7"/>
  <c r="P194" i="7" s="1"/>
  <c r="Q194" i="7" s="1"/>
  <c r="N249" i="7"/>
  <c r="F89" i="26" l="1"/>
  <c r="I196" i="7" s="1"/>
  <c r="I195" i="7"/>
  <c r="N195" i="7" s="1"/>
  <c r="O195" i="7" s="1"/>
  <c r="P195" i="7" s="1"/>
  <c r="Q195" i="7" s="1"/>
  <c r="E159" i="30"/>
  <c r="F159" i="30" s="1"/>
  <c r="C21" i="23"/>
  <c r="L5" i="11"/>
  <c r="O249" i="7"/>
  <c r="P249" i="7" s="1"/>
  <c r="C22" i="9"/>
  <c r="D22" i="9" s="1"/>
  <c r="E22" i="9" s="1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99" i="26"/>
  <c r="J9" i="26" s="1"/>
  <c r="K9" i="26" s="1"/>
  <c r="G10" i="26" l="1"/>
  <c r="H10" i="26" s="1"/>
  <c r="F100" i="26" s="1"/>
  <c r="O206" i="7"/>
  <c r="P206" i="7" s="1"/>
  <c r="Q206" i="7" s="1"/>
  <c r="Q207" i="7" s="1"/>
  <c r="D126" i="30" s="1"/>
  <c r="N250" i="7"/>
  <c r="F101" i="26" l="1"/>
  <c r="I207" i="7"/>
  <c r="N207" i="7" s="1"/>
  <c r="E160" i="30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1" i="26"/>
  <c r="J10" i="26" s="1"/>
  <c r="K10" i="26" s="1"/>
  <c r="G11" i="26" l="1"/>
  <c r="H11" i="26" s="1"/>
  <c r="F112" i="26" s="1"/>
  <c r="N218" i="7"/>
  <c r="N251" i="7" s="1"/>
  <c r="I219" i="7" l="1"/>
  <c r="F113" i="26"/>
  <c r="I220" i="7" s="1"/>
  <c r="E161" i="30"/>
  <c r="N5" i="11"/>
  <c r="C24" i="9"/>
  <c r="I261" i="7"/>
  <c r="N219" i="7"/>
  <c r="F114" i="26" l="1"/>
  <c r="I221" i="7" s="1"/>
  <c r="I262" i="7"/>
  <c r="N220" i="7"/>
  <c r="I275" i="7"/>
  <c r="N275" i="7" s="1"/>
  <c r="N261" i="7"/>
  <c r="N8" i="11"/>
  <c r="H334" i="30"/>
  <c r="H337" i="30" s="1"/>
  <c r="F115" i="26" l="1"/>
  <c r="I222" i="7" s="1"/>
  <c r="I263" i="7"/>
  <c r="N221" i="7"/>
  <c r="I276" i="7"/>
  <c r="N276" i="7" s="1"/>
  <c r="N262" i="7"/>
  <c r="F116" i="26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F124" i="26" s="1"/>
  <c r="I271" i="7" l="1"/>
  <c r="N229" i="7"/>
  <c r="I284" i="7"/>
  <c r="N284" i="7" s="1"/>
  <c r="N270" i="7"/>
  <c r="H123" i="26"/>
  <c r="I230" i="7"/>
  <c r="G123" i="26"/>
  <c r="J11" i="26" s="1"/>
  <c r="K11" i="26" l="1"/>
  <c r="K12" i="26" s="1"/>
  <c r="J12" i="26"/>
  <c r="I272" i="7"/>
  <c r="N230" i="7"/>
  <c r="N252" i="7" s="1"/>
  <c r="I232" i="7"/>
  <c r="I285" i="7"/>
  <c r="N285" i="7" s="1"/>
  <c r="N271" i="7"/>
  <c r="N232" i="7" l="1"/>
  <c r="I286" i="7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G24" i="9"/>
  <c r="O256" i="7" l="1"/>
  <c r="O8" i="1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N73" i="9" s="1"/>
  <c r="N45" i="11" s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E285" i="30"/>
  <c r="E291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H346" i="30" l="1"/>
  <c r="C5" i="33"/>
  <c r="H370" i="30"/>
  <c r="C9" i="33"/>
  <c r="J285" i="30"/>
  <c r="J291" i="30" s="1"/>
  <c r="H326" i="30" s="1"/>
  <c r="P73" i="9"/>
  <c r="G16" i="18" s="1"/>
  <c r="N55" i="11" s="1"/>
  <c r="E41" i="30"/>
  <c r="E81" i="30" s="1"/>
  <c r="E100" i="30" s="1"/>
  <c r="J41" i="30"/>
  <c r="J81" i="30" s="1"/>
  <c r="J100" i="30" s="1"/>
  <c r="K73" i="9"/>
  <c r="N30" i="11" s="1"/>
  <c r="F16" i="18"/>
  <c r="N46" i="11" s="1"/>
  <c r="Q81" i="9"/>
  <c r="J74" i="9"/>
  <c r="B17" i="18" s="1"/>
  <c r="F286" i="30"/>
  <c r="F292" i="30" s="1"/>
  <c r="D327" i="30" s="1"/>
  <c r="K74" i="9"/>
  <c r="O30" i="11" s="1"/>
  <c r="G286" i="30"/>
  <c r="G292" i="30" s="1"/>
  <c r="E327" i="30" s="1"/>
  <c r="H74" i="9"/>
  <c r="O17" i="11" s="1"/>
  <c r="D286" i="30"/>
  <c r="L73" i="9"/>
  <c r="H285" i="30"/>
  <c r="H291" i="30" s="1"/>
  <c r="F326" i="30" s="1"/>
  <c r="I74" i="9"/>
  <c r="O21" i="11" s="1"/>
  <c r="E286" i="30"/>
  <c r="E292" i="30" s="1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O74" i="9"/>
  <c r="O50" i="11" s="1"/>
  <c r="K286" i="30"/>
  <c r="K292" i="30" s="1"/>
  <c r="J73" i="9"/>
  <c r="F285" i="30"/>
  <c r="F291" i="30" s="1"/>
  <c r="D326" i="30" s="1"/>
  <c r="N74" i="9"/>
  <c r="O45" i="11" s="1"/>
  <c r="J286" i="30"/>
  <c r="J292" i="30" s="1"/>
  <c r="H327" i="30" s="1"/>
  <c r="P74" i="9"/>
  <c r="O54" i="11" s="1"/>
  <c r="L286" i="30"/>
  <c r="L292" i="30" s="1"/>
  <c r="I327" i="30" s="1"/>
  <c r="L74" i="9"/>
  <c r="D17" i="18" s="1"/>
  <c r="O36" i="11" s="1"/>
  <c r="H286" i="30"/>
  <c r="H292" i="30" s="1"/>
  <c r="F327" i="30" s="1"/>
  <c r="O73" i="9"/>
  <c r="N50" i="11" s="1"/>
  <c r="C10" i="33" s="1"/>
  <c r="K285" i="30"/>
  <c r="K291" i="30" s="1"/>
  <c r="H73" i="9"/>
  <c r="D285" i="30"/>
  <c r="Q82" i="9"/>
  <c r="I342" i="30" l="1"/>
  <c r="C5" i="34"/>
  <c r="I370" i="30"/>
  <c r="C10" i="34"/>
  <c r="I355" i="30"/>
  <c r="C8" i="34"/>
  <c r="I379" i="30"/>
  <c r="C12" i="34"/>
  <c r="H380" i="30"/>
  <c r="D11" i="33"/>
  <c r="E48" i="33" s="1"/>
  <c r="C23" i="33"/>
  <c r="E23" i="33" s="1"/>
  <c r="O26" i="11"/>
  <c r="I361" i="30"/>
  <c r="D9" i="34"/>
  <c r="E46" i="34" s="1"/>
  <c r="I375" i="30"/>
  <c r="C11" i="34"/>
  <c r="H371" i="30"/>
  <c r="D9" i="33"/>
  <c r="E46" i="33" s="1"/>
  <c r="C18" i="33"/>
  <c r="E18" i="33" s="1"/>
  <c r="C30" i="33"/>
  <c r="E30" i="33" s="1"/>
  <c r="G30" i="33" s="1"/>
  <c r="I346" i="30"/>
  <c r="C6" i="34"/>
  <c r="C22" i="33"/>
  <c r="E22" i="33" s="1"/>
  <c r="C34" i="33"/>
  <c r="E34" i="33" s="1"/>
  <c r="G34" i="33" s="1"/>
  <c r="H355" i="30"/>
  <c r="C7" i="33"/>
  <c r="J326" i="30"/>
  <c r="N54" i="11"/>
  <c r="C11" i="33" s="1"/>
  <c r="C16" i="18"/>
  <c r="O40" i="11"/>
  <c r="I364" i="30" s="1"/>
  <c r="G17" i="18"/>
  <c r="O55" i="11" s="1"/>
  <c r="K42" i="30"/>
  <c r="K82" i="30" s="1"/>
  <c r="O25" i="11"/>
  <c r="Q74" i="9"/>
  <c r="D21" i="30" s="1"/>
  <c r="G41" i="30"/>
  <c r="G81" i="30" s="1"/>
  <c r="G100" i="30" s="1"/>
  <c r="J42" i="30"/>
  <c r="J82" i="30" s="1"/>
  <c r="J101" i="30" s="1"/>
  <c r="F17" i="18"/>
  <c r="O46" i="11" s="1"/>
  <c r="O35" i="11"/>
  <c r="G42" i="30"/>
  <c r="G82" i="30" s="1"/>
  <c r="C17" i="18"/>
  <c r="E42" i="30"/>
  <c r="E82" i="30" s="1"/>
  <c r="E101" i="30" s="1"/>
  <c r="M285" i="30"/>
  <c r="D291" i="30"/>
  <c r="M291" i="30" s="1"/>
  <c r="H375" i="30"/>
  <c r="K41" i="30"/>
  <c r="K81" i="30" s="1"/>
  <c r="K100" i="30" s="1"/>
  <c r="N40" i="11"/>
  <c r="E16" i="18"/>
  <c r="N41" i="11" s="1"/>
  <c r="H365" i="30" s="1"/>
  <c r="D16" i="18"/>
  <c r="N36" i="11" s="1"/>
  <c r="D8" i="33" s="1"/>
  <c r="E45" i="33" s="1"/>
  <c r="N35" i="11"/>
  <c r="C8" i="33" s="1"/>
  <c r="M286" i="30"/>
  <c r="D292" i="30"/>
  <c r="M292" i="30" s="1"/>
  <c r="J327" i="30"/>
  <c r="N17" i="11"/>
  <c r="C4" i="33" s="1"/>
  <c r="Q73" i="9"/>
  <c r="N25" i="11"/>
  <c r="C6" i="33" s="1"/>
  <c r="B16" i="18"/>
  <c r="D42" i="30"/>
  <c r="D82" i="30" s="1"/>
  <c r="L42" i="30"/>
  <c r="I360" i="30" l="1"/>
  <c r="C9" i="34"/>
  <c r="C13" i="34" s="1"/>
  <c r="C19" i="34"/>
  <c r="E19" i="34" s="1"/>
  <c r="C31" i="34"/>
  <c r="E31" i="34" s="1"/>
  <c r="G31" i="34" s="1"/>
  <c r="G23" i="33"/>
  <c r="C12" i="33"/>
  <c r="C17" i="33"/>
  <c r="I371" i="30"/>
  <c r="D10" i="34"/>
  <c r="E47" i="34" s="1"/>
  <c r="N31" i="11"/>
  <c r="D7" i="33" s="1"/>
  <c r="E44" i="33" s="1"/>
  <c r="E60" i="33"/>
  <c r="G60" i="33" s="1"/>
  <c r="G48" i="33"/>
  <c r="C24" i="33"/>
  <c r="E24" i="33" s="1"/>
  <c r="C23" i="34"/>
  <c r="E23" i="34" s="1"/>
  <c r="C25" i="34"/>
  <c r="E25" i="34" s="1"/>
  <c r="G18" i="33"/>
  <c r="E42" i="33"/>
  <c r="E66" i="33"/>
  <c r="C21" i="33"/>
  <c r="E21" i="33" s="1"/>
  <c r="I350" i="30"/>
  <c r="C7" i="34"/>
  <c r="E58" i="33"/>
  <c r="G58" i="33" s="1"/>
  <c r="G46" i="33"/>
  <c r="C18" i="34"/>
  <c r="G45" i="33"/>
  <c r="E57" i="33"/>
  <c r="G57" i="33" s="1"/>
  <c r="I351" i="30"/>
  <c r="D7" i="34"/>
  <c r="E58" i="34"/>
  <c r="G58" i="34" s="1"/>
  <c r="G46" i="34"/>
  <c r="C20" i="33"/>
  <c r="E20" i="33" s="1"/>
  <c r="C19" i="33"/>
  <c r="E19" i="33" s="1"/>
  <c r="I380" i="30"/>
  <c r="D12" i="34"/>
  <c r="E49" i="34" s="1"/>
  <c r="G22" i="33"/>
  <c r="E70" i="33"/>
  <c r="C24" i="34"/>
  <c r="E24" i="34" s="1"/>
  <c r="C36" i="34"/>
  <c r="E36" i="34" s="1"/>
  <c r="C35" i="33"/>
  <c r="E35" i="33" s="1"/>
  <c r="C21" i="34"/>
  <c r="E21" i="34" s="1"/>
  <c r="H379" i="30"/>
  <c r="L41" i="30"/>
  <c r="L81" i="30" s="1"/>
  <c r="L100" i="30" s="1"/>
  <c r="O59" i="11"/>
  <c r="I42" i="30"/>
  <c r="I82" i="30" s="1"/>
  <c r="H17" i="18"/>
  <c r="O64" i="11" s="1"/>
  <c r="I389" i="30" s="1"/>
  <c r="O63" i="11"/>
  <c r="I388" i="30" s="1"/>
  <c r="F42" i="30"/>
  <c r="F82" i="30" s="1"/>
  <c r="G101" i="30"/>
  <c r="O31" i="11"/>
  <c r="R74" i="9"/>
  <c r="T74" i="9" s="1"/>
  <c r="H42" i="30"/>
  <c r="H82" i="30" s="1"/>
  <c r="K101" i="30"/>
  <c r="N26" i="11"/>
  <c r="D6" i="33" s="1"/>
  <c r="H16" i="18"/>
  <c r="D20" i="30"/>
  <c r="R73" i="9"/>
  <c r="T73" i="9" s="1"/>
  <c r="N63" i="11"/>
  <c r="H388" i="30" s="1"/>
  <c r="H361" i="30"/>
  <c r="D41" i="30"/>
  <c r="H342" i="30"/>
  <c r="N59" i="11"/>
  <c r="I41" i="30"/>
  <c r="I81" i="30" s="1"/>
  <c r="I100" i="30" s="1"/>
  <c r="H364" i="30"/>
  <c r="H350" i="30"/>
  <c r="F41" i="30"/>
  <c r="F81" i="30" s="1"/>
  <c r="F100" i="30" s="1"/>
  <c r="H360" i="30"/>
  <c r="H41" i="30"/>
  <c r="H81" i="30" s="1"/>
  <c r="H100" i="30" s="1"/>
  <c r="L82" i="30"/>
  <c r="H356" i="30" l="1"/>
  <c r="C31" i="33"/>
  <c r="E31" i="33" s="1"/>
  <c r="G31" i="33" s="1"/>
  <c r="C35" i="34"/>
  <c r="E35" i="34" s="1"/>
  <c r="G35" i="34" s="1"/>
  <c r="I384" i="30"/>
  <c r="I392" i="30" s="1"/>
  <c r="C33" i="34"/>
  <c r="E33" i="34" s="1"/>
  <c r="G33" i="34" s="1"/>
  <c r="C33" i="33"/>
  <c r="E33" i="33" s="1"/>
  <c r="G33" i="33" s="1"/>
  <c r="C36" i="33"/>
  <c r="E36" i="33" s="1"/>
  <c r="G36" i="33" s="1"/>
  <c r="G35" i="33"/>
  <c r="E47" i="33"/>
  <c r="G20" i="33"/>
  <c r="E43" i="33"/>
  <c r="D12" i="33"/>
  <c r="G21" i="34"/>
  <c r="E18" i="34"/>
  <c r="C20" i="34"/>
  <c r="E20" i="34" s="1"/>
  <c r="C37" i="34"/>
  <c r="E37" i="34" s="1"/>
  <c r="G37" i="34" s="1"/>
  <c r="G25" i="34"/>
  <c r="E44" i="34"/>
  <c r="G24" i="34"/>
  <c r="E72" i="34"/>
  <c r="E82" i="33"/>
  <c r="G82" i="33" s="1"/>
  <c r="G70" i="33"/>
  <c r="G21" i="33"/>
  <c r="C22" i="34"/>
  <c r="E22" i="34" s="1"/>
  <c r="G36" i="34"/>
  <c r="E48" i="34"/>
  <c r="G19" i="33"/>
  <c r="G23" i="34"/>
  <c r="G19" i="34"/>
  <c r="E43" i="34"/>
  <c r="E67" i="34"/>
  <c r="E78" i="33"/>
  <c r="G78" i="33" s="1"/>
  <c r="G66" i="33"/>
  <c r="G24" i="33"/>
  <c r="G44" i="33"/>
  <c r="E56" i="33"/>
  <c r="G56" i="33" s="1"/>
  <c r="C29" i="33"/>
  <c r="C25" i="33"/>
  <c r="E17" i="33"/>
  <c r="I356" i="30"/>
  <c r="I385" i="30" s="1"/>
  <c r="I393" i="30" s="1"/>
  <c r="D8" i="34"/>
  <c r="E45" i="34" s="1"/>
  <c r="E61" i="34"/>
  <c r="G61" i="34" s="1"/>
  <c r="G49" i="34"/>
  <c r="C32" i="33"/>
  <c r="E32" i="33" s="1"/>
  <c r="G32" i="33" s="1"/>
  <c r="C30" i="34"/>
  <c r="E54" i="33"/>
  <c r="G54" i="33" s="1"/>
  <c r="G42" i="33"/>
  <c r="G47" i="34"/>
  <c r="E59" i="34"/>
  <c r="G59" i="34" s="1"/>
  <c r="E71" i="33"/>
  <c r="L101" i="30"/>
  <c r="L327" i="30"/>
  <c r="O73" i="11"/>
  <c r="O60" i="11"/>
  <c r="M42" i="30"/>
  <c r="I101" i="30"/>
  <c r="D81" i="30"/>
  <c r="M41" i="30"/>
  <c r="E20" i="30"/>
  <c r="F20" i="30" s="1"/>
  <c r="E21" i="30"/>
  <c r="F21" i="30" s="1"/>
  <c r="N64" i="11"/>
  <c r="H389" i="30" s="1"/>
  <c r="L326" i="30"/>
  <c r="H101" i="30"/>
  <c r="N73" i="11"/>
  <c r="F101" i="30"/>
  <c r="H351" i="30"/>
  <c r="H385" i="30" s="1"/>
  <c r="N60" i="11"/>
  <c r="H384" i="30"/>
  <c r="H392" i="30" s="1"/>
  <c r="E67" i="33" l="1"/>
  <c r="G67" i="33" s="1"/>
  <c r="E69" i="33"/>
  <c r="G69" i="33" s="1"/>
  <c r="E69" i="34"/>
  <c r="G69" i="34" s="1"/>
  <c r="E68" i="33"/>
  <c r="G68" i="33" s="1"/>
  <c r="E71" i="34"/>
  <c r="G71" i="34" s="1"/>
  <c r="E72" i="33"/>
  <c r="E84" i="33" s="1"/>
  <c r="G84" i="33" s="1"/>
  <c r="C34" i="34"/>
  <c r="E34" i="34" s="1"/>
  <c r="G34" i="34" s="1"/>
  <c r="C32" i="34"/>
  <c r="E32" i="34" s="1"/>
  <c r="G32" i="34" s="1"/>
  <c r="E73" i="34"/>
  <c r="G73" i="34" s="1"/>
  <c r="E25" i="33"/>
  <c r="G17" i="33"/>
  <c r="G25" i="33" s="1"/>
  <c r="D13" i="34"/>
  <c r="G67" i="34"/>
  <c r="E79" i="34"/>
  <c r="G79" i="34" s="1"/>
  <c r="E81" i="33"/>
  <c r="G81" i="33" s="1"/>
  <c r="E85" i="34"/>
  <c r="G85" i="34" s="1"/>
  <c r="G18" i="34"/>
  <c r="E26" i="34"/>
  <c r="O74" i="11"/>
  <c r="G45" i="34"/>
  <c r="E57" i="34"/>
  <c r="G57" i="34" s="1"/>
  <c r="E55" i="34"/>
  <c r="G55" i="34" s="1"/>
  <c r="G43" i="34"/>
  <c r="E79" i="33"/>
  <c r="G79" i="33" s="1"/>
  <c r="E84" i="34"/>
  <c r="G84" i="34" s="1"/>
  <c r="G72" i="34"/>
  <c r="G43" i="33"/>
  <c r="E55" i="33"/>
  <c r="G55" i="33" s="1"/>
  <c r="E29" i="33"/>
  <c r="E65" i="33" s="1"/>
  <c r="C37" i="33"/>
  <c r="G20" i="34"/>
  <c r="E68" i="34"/>
  <c r="C26" i="34"/>
  <c r="E60" i="34"/>
  <c r="G60" i="34" s="1"/>
  <c r="G48" i="34"/>
  <c r="E59" i="33"/>
  <c r="G59" i="33" s="1"/>
  <c r="G47" i="33"/>
  <c r="G72" i="33"/>
  <c r="G71" i="33"/>
  <c r="E83" i="33"/>
  <c r="G83" i="33" s="1"/>
  <c r="E81" i="34"/>
  <c r="G81" i="34" s="1"/>
  <c r="G22" i="34"/>
  <c r="E70" i="34"/>
  <c r="E30" i="34"/>
  <c r="E42" i="34" s="1"/>
  <c r="E56" i="34"/>
  <c r="G56" i="34" s="1"/>
  <c r="G44" i="34"/>
  <c r="H393" i="30"/>
  <c r="D100" i="30"/>
  <c r="D101" i="30"/>
  <c r="N74" i="11"/>
  <c r="E80" i="33" l="1"/>
  <c r="G80" i="33" s="1"/>
  <c r="E83" i="34"/>
  <c r="G83" i="34" s="1"/>
  <c r="C38" i="34"/>
  <c r="E41" i="33"/>
  <c r="E53" i="33" s="1"/>
  <c r="G53" i="33" s="1"/>
  <c r="G61" i="33" s="1"/>
  <c r="C92" i="33" s="1"/>
  <c r="G26" i="34"/>
  <c r="E73" i="33"/>
  <c r="G65" i="33"/>
  <c r="G73" i="33" s="1"/>
  <c r="C90" i="33" s="1"/>
  <c r="E77" i="33"/>
  <c r="E54" i="34"/>
  <c r="G54" i="34" s="1"/>
  <c r="G62" i="34" s="1"/>
  <c r="C93" i="34" s="1"/>
  <c r="G42" i="34"/>
  <c r="G50" i="34" s="1"/>
  <c r="C92" i="34" s="1"/>
  <c r="G70" i="34"/>
  <c r="E82" i="34"/>
  <c r="G82" i="34" s="1"/>
  <c r="G68" i="34"/>
  <c r="E80" i="34"/>
  <c r="G80" i="34" s="1"/>
  <c r="G30" i="34"/>
  <c r="G38" i="34" s="1"/>
  <c r="C90" i="34" s="1"/>
  <c r="E38" i="34"/>
  <c r="E37" i="33"/>
  <c r="G29" i="33"/>
  <c r="G37" i="33" s="1"/>
  <c r="C89" i="33" s="1"/>
  <c r="E66" i="34"/>
  <c r="G41" i="33" l="1"/>
  <c r="G49" i="33" s="1"/>
  <c r="C91" i="33" s="1"/>
  <c r="G66" i="34"/>
  <c r="G74" i="34" s="1"/>
  <c r="C91" i="34" s="1"/>
  <c r="E78" i="34"/>
  <c r="E74" i="34"/>
  <c r="E85" i="33"/>
  <c r="G77" i="33"/>
  <c r="G85" i="33" s="1"/>
  <c r="C93" i="33" s="1"/>
  <c r="C96" i="33" s="1"/>
  <c r="G78" i="34" l="1"/>
  <c r="G86" i="34" s="1"/>
  <c r="C94" i="34" s="1"/>
  <c r="C97" i="34" s="1"/>
  <c r="E86" i="34"/>
</calcChain>
</file>

<file path=xl/comments1.xml><?xml version="1.0" encoding="utf-8"?>
<comments xmlns="http://schemas.openxmlformats.org/spreadsheetml/2006/main">
  <authors>
    <author>Author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sharedStrings.xml><?xml version="1.0" encoding="utf-8"?>
<sst xmlns="http://schemas.openxmlformats.org/spreadsheetml/2006/main" count="677" uniqueCount="317">
  <si>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</si>
  <si>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</si>
  <si>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</si>
  <si>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</si>
  <si>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</si>
  <si>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</si>
  <si>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</si>
  <si>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</si>
  <si>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</si>
  <si>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</si>
  <si>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</si>
  <si>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</si>
  <si>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</si>
  <si>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</si>
  <si>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</si>
  <si>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</si>
  <si>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</si>
  <si>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</si>
  <si>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</si>
  <si>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</si>
  <si>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</si>
  <si>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</si>
  <si>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</si>
  <si>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</si>
  <si>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</si>
  <si>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</si>
  <si>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</si>
  <si>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</si>
  <si>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</si>
  <si>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</si>
  <si>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</si>
  <si>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</si>
  <si>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</si>
  <si>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</si>
  <si>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</si>
  <si>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</si>
  <si>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</si>
  <si>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</si>
  <si>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</si>
  <si>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</si>
  <si>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</si>
  <si>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</si>
  <si>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</si>
  <si>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</si>
  <si>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</si>
  <si>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</si>
  <si>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</si>
  <si>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</si>
  <si>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</si>
  <si>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</si>
  <si>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</si>
  <si>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</si>
  <si>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</si>
  <si>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</si>
  <si>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</si>
  <si>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</si>
  <si>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</si>
  <si>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</si>
  <si>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</si>
  <si>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</si>
  <si>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</si>
  <si>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</si>
  <si>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</si>
  <si>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</si>
  <si>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</si>
  <si>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</si>
  <si>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</si>
  <si>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</si>
  <si>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</si>
  <si>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</si>
  <si>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</si>
  <si>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</si>
  <si>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</si>
  <si>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</si>
  <si>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</si>
  <si>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</si>
  <si>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</si>
  <si>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</si>
  <si>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</si>
  <si>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</si>
  <si>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</si>
  <si>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</si>
  <si>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</si>
  <si>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</si>
  <si>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</si>
  <si>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</si>
  <si>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</si>
  <si>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</si>
  <si>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</si>
  <si>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</si>
  <si>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</si>
  <si>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</si>
  <si>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</si>
  <si>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</si>
  <si>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</si>
  <si>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</si>
  <si>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</si>
  <si>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</si>
  <si>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</si>
  <si>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</si>
  <si>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</si>
  <si>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</si>
  <si>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</si>
  <si>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</si>
  <si>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</si>
  <si>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</si>
  <si>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</si>
  <si>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</si>
  <si>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</si>
  <si>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</si>
  <si>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</si>
  <si>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</si>
  <si>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</si>
  <si>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</si>
  <si>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</si>
  <si>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</si>
  <si>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</si>
  <si>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</si>
  <si>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</si>
  <si>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</si>
  <si>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</si>
  <si>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</si>
  <si>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</si>
  <si>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</si>
  <si>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</si>
  <si>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</si>
  <si>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</si>
  <si>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</si>
  <si>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</si>
  <si>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</si>
  <si>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</si>
  <si>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</si>
  <si>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</si>
  <si>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</si>
  <si>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</si>
  <si>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</si>
  <si>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</si>
  <si>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</si>
  <si>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</si>
  <si>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</si>
  <si>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</si>
  <si>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</si>
  <si>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</si>
  <si>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</si>
  <si>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</si>
  <si>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</si>
  <si>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</si>
  <si>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</si>
  <si>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</si>
  <si>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</si>
  <si>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</si>
  <si>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</si>
  <si>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</si>
  <si>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</si>
  <si>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</si>
  <si>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</si>
  <si>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</si>
  <si>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</si>
  <si>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</si>
  <si>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</si>
  <si>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</si>
  <si>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</si>
  <si>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</si>
  <si>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</si>
  <si>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</si>
  <si>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</si>
  <si>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</si>
  <si>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</si>
  <si>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</si>
  <si>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</si>
  <si>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</si>
  <si>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</si>
  <si>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</si>
  <si>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</si>
  <si>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</si>
  <si>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</si>
  <si>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</si>
  <si>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</si>
  <si>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</si>
  <si>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</si>
  <si>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</si>
  <si>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</si>
  <si>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</si>
  <si>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</si>
  <si>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</si>
  <si>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</si>
  <si>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</si>
  <si>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</si>
  <si>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</si>
  <si>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</si>
  <si>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</si>
  <si>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</si>
  <si>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</si>
  <si>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</si>
  <si>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</si>
  <si>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</si>
  <si>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</si>
  <si>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</si>
  <si>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</si>
  <si>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</si>
  <si>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</si>
  <si>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</si>
  <si>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</si>
  <si>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</si>
  <si>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</si>
  <si>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</si>
  <si>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</si>
  <si>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</si>
  <si>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</si>
  <si>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</si>
  <si>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</si>
  <si>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</si>
  <si>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</si>
  <si>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</si>
  <si>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</si>
  <si>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</si>
  <si>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</si>
  <si>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</si>
  <si>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</si>
  <si>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</si>
  <si>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</si>
  <si>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</si>
  <si>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</si>
  <si>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</si>
  <si>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</si>
  <si>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</si>
  <si>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</si>
  <si>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</si>
  <si>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</si>
  <si>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</si>
  <si>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</si>
  <si>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</si>
  <si>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</si>
  <si>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</si>
  <si>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</si>
  <si>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</si>
  <si>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</si>
  <si>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</si>
  <si>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</si>
  <si>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</si>
  <si>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</si>
  <si>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</si>
  <si>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</si>
  <si>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</si>
  <si>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</si>
  <si>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</si>
  <si>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</si>
  <si>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</si>
  <si>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</si>
  <si>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</si>
  <si>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</si>
  <si>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</si>
  <si>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</si>
  <si>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</si>
  <si>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</si>
  <si>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</si>
  <si>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</si>
  <si>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</si>
  <si>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</si>
  <si>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</si>
  <si>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</si>
  <si>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</si>
  <si>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</si>
  <si>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</si>
  <si>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</si>
  <si>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</si>
  <si>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</si>
  <si>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</si>
  <si>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</si>
  <si>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</si>
  <si>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</si>
  <si>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</si>
  <si>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</si>
  <si>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</si>
  <si>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</si>
  <si>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</si>
  <si>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</si>
  <si>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</si>
  <si>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</si>
  <si>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</si>
  <si>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</si>
  <si>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</si>
  <si>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</si>
  <si>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</si>
  <si>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</si>
  <si>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</si>
  <si>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</si>
  <si>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</si>
  <si>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</si>
  <si>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</si>
  <si>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</si>
  <si>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</si>
  <si>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</si>
  <si>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>Actual 2012 Results and Presistence</t>
  </si>
  <si>
    <t>Total OPA Annual CDM Results up to 2010 Half Year Rule(Net)</t>
  </si>
  <si>
    <t xml:space="preserve"> </t>
  </si>
  <si>
    <t>From the Regulated Price Plan Price Report Dated October 17, 2013</t>
  </si>
  <si>
    <t xml:space="preserve">changed when the Sept 17/13 RTSR Workform was used </t>
  </si>
  <si>
    <t>and when the new Jan 1, 2014 Unifrom Electricity Transmission</t>
  </si>
  <si>
    <t xml:space="preserve">Rates were issued and used.   </t>
  </si>
  <si>
    <t xml:space="preserve">and when the new Jan 1, 2014 RRR rates were issued and used.  </t>
  </si>
  <si>
    <t>General Service &lt; 50 kW</t>
  </si>
  <si>
    <t>General Service &gt; 50 to 999 kW</t>
  </si>
  <si>
    <t>General Service &gt; 1000 to 4999 kW</t>
  </si>
  <si>
    <t>Embedded Distributors - Hydro One</t>
  </si>
  <si>
    <t>Original Application</t>
  </si>
  <si>
    <t>Customers</t>
  </si>
  <si>
    <t>General Service &lt; 50 KW</t>
  </si>
  <si>
    <t>General Service 1,000 to 4,999 KW</t>
  </si>
  <si>
    <t>Large Use</t>
  </si>
  <si>
    <t>Unmetered Scattered Load</t>
  </si>
  <si>
    <t>Connections</t>
  </si>
  <si>
    <t xml:space="preserve">Street Lighting </t>
  </si>
  <si>
    <t>Customers/Connections</t>
  </si>
  <si>
    <t>Settlement</t>
  </si>
  <si>
    <t>Adjustments</t>
  </si>
  <si>
    <t>General Service 50 to 999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</si>
</sst>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#,##0.0"/>
    <numFmt numFmtId="179" formatCode="0.0;\(0.0\)"/>
    <numFmt numFmtId="180" formatCode="0.0%;\(0.0%\)"/>
    <numFmt numFmtId="181" formatCode="#,##0.0;\(#,##0.0\)"/>
    <numFmt numFmtId="182" formatCode="0.0000%;\(0.0%\)"/>
    <numFmt numFmtId="183" formatCode="&quot;$&quot;#,##0.00000_);[Red]\(&quot;$&quot;#,##0.00000\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1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1" fontId="0" fillId="0" borderId="0" xfId="1" applyNumberFormat="1" applyFont="1" applyBorder="1" applyAlignment="1">
      <alignment horizontal="center"/>
    </xf>
    <xf numFmtId="171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1" fontId="10" fillId="0" borderId="0" xfId="1" applyNumberFormat="1" applyFont="1" applyFill="1" applyAlignment="1">
      <alignment horizontal="center"/>
    </xf>
    <xf numFmtId="171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4" fontId="2" fillId="0" borderId="0" xfId="2" applyNumberFormat="1"/>
    <xf numFmtId="164" fontId="0" fillId="0" borderId="0" xfId="3" applyNumberFormat="1" applyFont="1"/>
    <xf numFmtId="174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1" xfId="0" applyNumberFormat="1" applyBorder="1"/>
    <xf numFmtId="164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6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1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1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4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1" fontId="12" fillId="0" borderId="0" xfId="1" applyNumberFormat="1" applyFont="1" applyFill="1"/>
    <xf numFmtId="171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8" fontId="17" fillId="0" borderId="1" xfId="7" applyNumberFormat="1" applyFont="1" applyFill="1" applyBorder="1" applyAlignment="1">
      <alignment horizontal="center" vertical="center"/>
    </xf>
    <xf numFmtId="179" fontId="17" fillId="0" borderId="1" xfId="5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8" fontId="16" fillId="0" borderId="1" xfId="7" applyNumberFormat="1" applyFont="1" applyFill="1" applyBorder="1" applyAlignment="1">
      <alignment horizontal="center" vertical="center"/>
    </xf>
    <xf numFmtId="179" fontId="16" fillId="0" borderId="1" xfId="5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8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8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0" fontId="16" fillId="0" borderId="4" xfId="5" applyNumberFormat="1" applyFont="1" applyFill="1" applyBorder="1" applyAlignment="1">
      <alignment horizontal="left" vertical="center"/>
    </xf>
    <xf numFmtId="180" fontId="17" fillId="0" borderId="1" xfId="5" applyNumberFormat="1" applyFont="1" applyFill="1" applyBorder="1" applyAlignment="1">
      <alignment horizontal="left" vertical="center"/>
    </xf>
    <xf numFmtId="180" fontId="16" fillId="0" borderId="1" xfId="5" applyNumberFormat="1" applyFont="1" applyFill="1" applyBorder="1" applyAlignment="1">
      <alignment horizontal="left" vertical="center"/>
    </xf>
    <xf numFmtId="167" fontId="16" fillId="0" borderId="0" xfId="5" applyNumberFormat="1" applyFont="1" applyAlignment="1">
      <alignment horizontal="center"/>
    </xf>
    <xf numFmtId="164" fontId="16" fillId="0" borderId="0" xfId="3" applyNumberFormat="1" applyFont="1"/>
    <xf numFmtId="180" fontId="17" fillId="0" borderId="0" xfId="5" applyNumberFormat="1" applyFont="1" applyFill="1" applyBorder="1" applyAlignment="1">
      <alignment horizontal="left" vertical="center"/>
    </xf>
    <xf numFmtId="180" fontId="16" fillId="0" borderId="0" xfId="5" applyNumberFormat="1" applyFont="1" applyFill="1" applyBorder="1" applyAlignment="1">
      <alignment horizontal="left" vertical="center"/>
    </xf>
    <xf numFmtId="180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4" fontId="1" fillId="0" borderId="1" xfId="5" applyNumberFormat="1" applyFill="1" applyBorder="1" applyAlignment="1">
      <alignment horizontal="center"/>
    </xf>
    <xf numFmtId="164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5" fontId="17" fillId="0" borderId="1" xfId="7" applyNumberFormat="1" applyFont="1" applyFill="1" applyBorder="1" applyAlignment="1">
      <alignment horizontal="center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5" fontId="16" fillId="0" borderId="1" xfId="7" applyNumberFormat="1" applyFont="1" applyFill="1" applyBorder="1" applyAlignment="1">
      <alignment horizontal="center" vertical="center"/>
    </xf>
    <xf numFmtId="180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0" fontId="17" fillId="0" borderId="1" xfId="5" applyNumberFormat="1" applyFont="1" applyFill="1" applyBorder="1" applyAlignment="1">
      <alignment horizontal="center" vertical="center" wrapText="1"/>
    </xf>
    <xf numFmtId="180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4" fontId="16" fillId="0" borderId="0" xfId="3" applyNumberFormat="1" applyFont="1" applyFill="1" applyBorder="1" applyAlignment="1">
      <alignment vertical="center"/>
    </xf>
    <xf numFmtId="181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8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4" fontId="1" fillId="0" borderId="1" xfId="5" applyNumberFormat="1" applyBorder="1"/>
    <xf numFmtId="179" fontId="16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0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178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8" fontId="16" fillId="0" borderId="1" xfId="5" applyNumberFormat="1" applyFont="1" applyFill="1" applyBorder="1" applyAlignment="1">
      <alignment horizontal="center" vertical="center"/>
    </xf>
    <xf numFmtId="178" fontId="16" fillId="0" borderId="15" xfId="7" applyNumberFormat="1" applyFont="1" applyFill="1" applyBorder="1" applyAlignment="1">
      <alignment horizontal="center" vertical="center"/>
    </xf>
    <xf numFmtId="178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79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1" fontId="0" fillId="0" borderId="0" xfId="1" applyNumberFormat="1" applyFont="1" applyAlignment="1"/>
    <xf numFmtId="164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4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2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3" fontId="1" fillId="5" borderId="21" xfId="0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4" fontId="22" fillId="0" borderId="22" xfId="0" applyNumberFormat="1" applyFont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175" fontId="14" fillId="3" borderId="1" xfId="0" applyNumberFormat="1" applyFont="1" applyFill="1" applyBorder="1"/>
    <xf numFmtId="0" fontId="23" fillId="0" borderId="0" xfId="0" applyFont="1"/>
    <xf numFmtId="183" fontId="23" fillId="0" borderId="0" xfId="0" applyNumberFormat="1" applyFont="1"/>
    <xf numFmtId="9" fontId="23" fillId="0" borderId="0" xfId="0" applyNumberFormat="1" applyFont="1" applyAlignment="1">
      <alignment horizontal="center"/>
    </xf>
    <xf numFmtId="0" fontId="14" fillId="5" borderId="0" xfId="0" applyFont="1" applyFill="1"/>
    <xf numFmtId="0" fontId="0" fillId="5" borderId="0" xfId="0" applyFill="1"/>
    <xf numFmtId="176" fontId="14" fillId="0" borderId="1" xfId="0" applyNumberFormat="1" applyFont="1" applyBorder="1"/>
    <xf numFmtId="177" fontId="14" fillId="3" borderId="1" xfId="0" applyNumberFormat="1" applyFont="1" applyFill="1" applyBorder="1"/>
    <xf numFmtId="177" fontId="24" fillId="3" borderId="1" xfId="0" applyNumberFormat="1" applyFont="1" applyFill="1" applyBorder="1"/>
    <xf numFmtId="0" fontId="24" fillId="5" borderId="0" xfId="0" applyFont="1" applyFill="1"/>
    <xf numFmtId="171" fontId="0" fillId="0" borderId="2" xfId="1" applyNumberFormat="1" applyFont="1" applyFill="1" applyBorder="1" applyAlignment="1"/>
    <xf numFmtId="43" fontId="0" fillId="0" borderId="0" xfId="1" applyNumberFormat="1" applyFont="1" applyFill="1" applyBorder="1" applyAlignment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3" fontId="0" fillId="0" borderId="0" xfId="0" applyNumberFormat="1" applyBorder="1"/>
    <xf numFmtId="3" fontId="0" fillId="0" borderId="33" xfId="0" applyNumberFormat="1" applyBorder="1"/>
    <xf numFmtId="37" fontId="0" fillId="0" borderId="0" xfId="0" applyNumberFormat="1" applyBorder="1"/>
    <xf numFmtId="0" fontId="0" fillId="0" borderId="34" xfId="0" applyBorder="1"/>
    <xf numFmtId="0" fontId="0" fillId="0" borderId="2" xfId="0" applyBorder="1"/>
    <xf numFmtId="3" fontId="0" fillId="0" borderId="2" xfId="0" applyNumberFormat="1" applyBorder="1"/>
    <xf numFmtId="3" fontId="0" fillId="0" borderId="35" xfId="0" applyNumberFormat="1" applyBorder="1"/>
    <xf numFmtId="0" fontId="0" fillId="0" borderId="31" xfId="0" applyBorder="1"/>
    <xf numFmtId="0" fontId="0" fillId="0" borderId="35" xfId="0" applyBorder="1"/>
    <xf numFmtId="0" fontId="1" fillId="0" borderId="0" xfId="0" applyFont="1" applyBorder="1"/>
    <xf numFmtId="0" fontId="4" fillId="0" borderId="32" xfId="0" applyFont="1" applyBorder="1"/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0" fontId="17" fillId="0" borderId="8" xfId="5" applyNumberFormat="1" applyFont="1" applyFill="1" applyBorder="1" applyAlignment="1">
      <alignment horizontal="left" vertical="center" wrapText="1"/>
    </xf>
    <xf numFmtId="180" fontId="17" fillId="0" borderId="4" xfId="5" applyNumberFormat="1" applyFont="1" applyFill="1" applyBorder="1" applyAlignment="1">
      <alignment horizontal="left" vertical="center" wrapText="1"/>
    </xf>
    <xf numFmtId="180" fontId="16" fillId="0" borderId="1" xfId="5" applyNumberFormat="1" applyFont="1" applyFill="1" applyBorder="1" applyAlignment="1">
      <alignment horizontal="left" vertical="center"/>
    </xf>
    <xf numFmtId="180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1160.636229055681</c:v>
                </c:pt>
                <c:pt idx="1">
                  <c:v>1199.6381919534881</c:v>
                </c:pt>
                <c:pt idx="2">
                  <c:v>1275.6438952985011</c:v>
                </c:pt>
                <c:pt idx="3">
                  <c:v>1379.2139670884619</c:v>
                </c:pt>
                <c:pt idx="4">
                  <c:v>1382.0395336418392</c:v>
                </c:pt>
                <c:pt idx="5">
                  <c:v>1416.5904032563885</c:v>
                </c:pt>
                <c:pt idx="6">
                  <c:v>1470.5755136215623</c:v>
                </c:pt>
                <c:pt idx="7">
                  <c:v>1500.8532652510455</c:v>
                </c:pt>
                <c:pt idx="8">
                  <c:v>1539.3780982646749</c:v>
                </c:pt>
                <c:pt idx="9">
                  <c:v>1627.2379810482955</c:v>
                </c:pt>
                <c:pt idx="10">
                  <c:v>1634.0262223421594</c:v>
                </c:pt>
                <c:pt idx="11">
                  <c:v>1622.7973186380689</c:v>
                </c:pt>
                <c:pt idx="12">
                  <c:v>1601.223664943572</c:v>
                </c:pt>
                <c:pt idx="13">
                  <c:v>1444.4593689156191</c:v>
                </c:pt>
                <c:pt idx="14">
                  <c:v>1492.4113399877301</c:v>
                </c:pt>
                <c:pt idx="15">
                  <c:v>1537.7577518746832</c:v>
                </c:pt>
                <c:pt idx="16">
                  <c:v>1511.5211147182199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87168"/>
        <c:axId val="199414528"/>
      </c:barChart>
      <c:catAx>
        <c:axId val="1996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1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14528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8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 kWh Purchases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5345892026288"/>
          <c:y val="0.14600956353139943"/>
          <c:w val="0.83507590164486223"/>
          <c:h val="0.7149194830456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'Purchased Power Model'!$B$2</c:f>
              <c:strCache>
                <c:ptCount val="1"/>
                <c:pt idx="0">
                  <c:v>Purchased kWh</c:v>
                </c:pt>
              </c:strCache>
            </c:strRef>
          </c:tx>
          <c:invertIfNegative val="0"/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Model'!$B$3:$B$206</c:f>
              <c:numCache>
                <c:formatCode>#,##0_);\(#,##0\)</c:formatCode>
                <c:ptCount val="204"/>
                <c:pt idx="0">
                  <c:v>105408735</c:v>
                </c:pt>
                <c:pt idx="1">
                  <c:v>97941163</c:v>
                </c:pt>
                <c:pt idx="2">
                  <c:v>98345544</c:v>
                </c:pt>
                <c:pt idx="3">
                  <c:v>88677350</c:v>
                </c:pt>
                <c:pt idx="4">
                  <c:v>86110774</c:v>
                </c:pt>
                <c:pt idx="5">
                  <c:v>87353968</c:v>
                </c:pt>
                <c:pt idx="6">
                  <c:v>89453162</c:v>
                </c:pt>
                <c:pt idx="7">
                  <c:v>95522933</c:v>
                </c:pt>
                <c:pt idx="8">
                  <c:v>88605608</c:v>
                </c:pt>
                <c:pt idx="9">
                  <c:v>91849048</c:v>
                </c:pt>
                <c:pt idx="10">
                  <c:v>97824062</c:v>
                </c:pt>
                <c:pt idx="11">
                  <c:v>99686246</c:v>
                </c:pt>
                <c:pt idx="12">
                  <c:v>108687484</c:v>
                </c:pt>
                <c:pt idx="13">
                  <c:v>96889088</c:v>
                </c:pt>
                <c:pt idx="14">
                  <c:v>101948722</c:v>
                </c:pt>
                <c:pt idx="15">
                  <c:v>95686072</c:v>
                </c:pt>
                <c:pt idx="16">
                  <c:v>93811439</c:v>
                </c:pt>
                <c:pt idx="17">
                  <c:v>99097140</c:v>
                </c:pt>
                <c:pt idx="18">
                  <c:v>102898353</c:v>
                </c:pt>
                <c:pt idx="19">
                  <c:v>97826498</c:v>
                </c:pt>
                <c:pt idx="20">
                  <c:v>95349179</c:v>
                </c:pt>
                <c:pt idx="21">
                  <c:v>100614082</c:v>
                </c:pt>
                <c:pt idx="22">
                  <c:v>103052415</c:v>
                </c:pt>
                <c:pt idx="23">
                  <c:v>106961772</c:v>
                </c:pt>
                <c:pt idx="24">
                  <c:v>110966443</c:v>
                </c:pt>
                <c:pt idx="25">
                  <c:v>100001015</c:v>
                </c:pt>
                <c:pt idx="26">
                  <c:v>109738133</c:v>
                </c:pt>
                <c:pt idx="27">
                  <c:v>96753486</c:v>
                </c:pt>
                <c:pt idx="28">
                  <c:v>101025669</c:v>
                </c:pt>
                <c:pt idx="29">
                  <c:v>107622236</c:v>
                </c:pt>
                <c:pt idx="30">
                  <c:v>111259024</c:v>
                </c:pt>
                <c:pt idx="31">
                  <c:v>110638583</c:v>
                </c:pt>
                <c:pt idx="32">
                  <c:v>103118005</c:v>
                </c:pt>
                <c:pt idx="33">
                  <c:v>102878594</c:v>
                </c:pt>
                <c:pt idx="34">
                  <c:v>107345949</c:v>
                </c:pt>
                <c:pt idx="35">
                  <c:v>111204020</c:v>
                </c:pt>
                <c:pt idx="36">
                  <c:v>120632212.69999999</c:v>
                </c:pt>
                <c:pt idx="37">
                  <c:v>107060675.09999999</c:v>
                </c:pt>
                <c:pt idx="38">
                  <c:v>116079398.90000001</c:v>
                </c:pt>
                <c:pt idx="39">
                  <c:v>102563424.80000001</c:v>
                </c:pt>
                <c:pt idx="40">
                  <c:v>104198219</c:v>
                </c:pt>
                <c:pt idx="41">
                  <c:v>116697000.7</c:v>
                </c:pt>
                <c:pt idx="42">
                  <c:v>119845846.3</c:v>
                </c:pt>
                <c:pt idx="43">
                  <c:v>114278129.30000001</c:v>
                </c:pt>
                <c:pt idx="44">
                  <c:v>109787767.09999999</c:v>
                </c:pt>
                <c:pt idx="45">
                  <c:v>108457636.09999999</c:v>
                </c:pt>
                <c:pt idx="46">
                  <c:v>113412855.90000001</c:v>
                </c:pt>
                <c:pt idx="47">
                  <c:v>117802224.19999999</c:v>
                </c:pt>
                <c:pt idx="48">
                  <c:v>124909563.80000001</c:v>
                </c:pt>
                <c:pt idx="49">
                  <c:v>116693943</c:v>
                </c:pt>
                <c:pt idx="50">
                  <c:v>116756801</c:v>
                </c:pt>
                <c:pt idx="51">
                  <c:v>106597677</c:v>
                </c:pt>
                <c:pt idx="52">
                  <c:v>111500528</c:v>
                </c:pt>
                <c:pt idx="53">
                  <c:v>115580544</c:v>
                </c:pt>
                <c:pt idx="54">
                  <c:v>113052205</c:v>
                </c:pt>
                <c:pt idx="55">
                  <c:v>120498144</c:v>
                </c:pt>
                <c:pt idx="56">
                  <c:v>111937721</c:v>
                </c:pt>
                <c:pt idx="57">
                  <c:v>112766680</c:v>
                </c:pt>
                <c:pt idx="58">
                  <c:v>117889023</c:v>
                </c:pt>
                <c:pt idx="59">
                  <c:v>123990762</c:v>
                </c:pt>
                <c:pt idx="60">
                  <c:v>127737949</c:v>
                </c:pt>
                <c:pt idx="61">
                  <c:v>114030713</c:v>
                </c:pt>
                <c:pt idx="62">
                  <c:v>122670396</c:v>
                </c:pt>
                <c:pt idx="63">
                  <c:v>108161574</c:v>
                </c:pt>
                <c:pt idx="64">
                  <c:v>110929304</c:v>
                </c:pt>
                <c:pt idx="65">
                  <c:v>120266540</c:v>
                </c:pt>
                <c:pt idx="66">
                  <c:v>119101349</c:v>
                </c:pt>
                <c:pt idx="67">
                  <c:v>132583402</c:v>
                </c:pt>
                <c:pt idx="68">
                  <c:v>113406955</c:v>
                </c:pt>
                <c:pt idx="69">
                  <c:v>118039640</c:v>
                </c:pt>
                <c:pt idx="70">
                  <c:v>117162207</c:v>
                </c:pt>
                <c:pt idx="71">
                  <c:v>116887701</c:v>
                </c:pt>
                <c:pt idx="72">
                  <c:v>128380096</c:v>
                </c:pt>
                <c:pt idx="73">
                  <c:v>117791339</c:v>
                </c:pt>
                <c:pt idx="74">
                  <c:v>125657099</c:v>
                </c:pt>
                <c:pt idx="75">
                  <c:v>119793772</c:v>
                </c:pt>
                <c:pt idx="76">
                  <c:v>120443399.99999999</c:v>
                </c:pt>
                <c:pt idx="77">
                  <c:v>125484770</c:v>
                </c:pt>
                <c:pt idx="78">
                  <c:v>140900710</c:v>
                </c:pt>
                <c:pt idx="79">
                  <c:v>136973540</c:v>
                </c:pt>
                <c:pt idx="80">
                  <c:v>126481700</c:v>
                </c:pt>
                <c:pt idx="81">
                  <c:v>124987330</c:v>
                </c:pt>
                <c:pt idx="82">
                  <c:v>124898770</c:v>
                </c:pt>
                <c:pt idx="83">
                  <c:v>127352230</c:v>
                </c:pt>
                <c:pt idx="84">
                  <c:v>136012740</c:v>
                </c:pt>
                <c:pt idx="85">
                  <c:v>124189300</c:v>
                </c:pt>
                <c:pt idx="86">
                  <c:v>130304230</c:v>
                </c:pt>
                <c:pt idx="87">
                  <c:v>119866539.99999999</c:v>
                </c:pt>
                <c:pt idx="88">
                  <c:v>118911520</c:v>
                </c:pt>
                <c:pt idx="89">
                  <c:v>123452030</c:v>
                </c:pt>
                <c:pt idx="90">
                  <c:v>133250359.99999999</c:v>
                </c:pt>
                <c:pt idx="91">
                  <c:v>130044509.99999999</c:v>
                </c:pt>
                <c:pt idx="92">
                  <c:v>123893240</c:v>
                </c:pt>
                <c:pt idx="93">
                  <c:v>127104740</c:v>
                </c:pt>
                <c:pt idx="94">
                  <c:v>126597630</c:v>
                </c:pt>
                <c:pt idx="95">
                  <c:v>130090690</c:v>
                </c:pt>
                <c:pt idx="96">
                  <c:v>140542520</c:v>
                </c:pt>
                <c:pt idx="97">
                  <c:v>129380670</c:v>
                </c:pt>
                <c:pt idx="98">
                  <c:v>134629040</c:v>
                </c:pt>
                <c:pt idx="99">
                  <c:v>121654149.99999999</c:v>
                </c:pt>
                <c:pt idx="100">
                  <c:v>123911560</c:v>
                </c:pt>
                <c:pt idx="101">
                  <c:v>128521509.99999999</c:v>
                </c:pt>
                <c:pt idx="102">
                  <c:v>130502320</c:v>
                </c:pt>
                <c:pt idx="103">
                  <c:v>134736160</c:v>
                </c:pt>
                <c:pt idx="104">
                  <c:v>131178500</c:v>
                </c:pt>
                <c:pt idx="105">
                  <c:v>127280000</c:v>
                </c:pt>
                <c:pt idx="106">
                  <c:v>131398790</c:v>
                </c:pt>
                <c:pt idx="107">
                  <c:v>136670710</c:v>
                </c:pt>
                <c:pt idx="108">
                  <c:v>145626785</c:v>
                </c:pt>
                <c:pt idx="109">
                  <c:v>130295706</c:v>
                </c:pt>
                <c:pt idx="110">
                  <c:v>139429744</c:v>
                </c:pt>
                <c:pt idx="111">
                  <c:v>125505720</c:v>
                </c:pt>
                <c:pt idx="112">
                  <c:v>126060714</c:v>
                </c:pt>
                <c:pt idx="113">
                  <c:v>148205860</c:v>
                </c:pt>
                <c:pt idx="114">
                  <c:v>144470140</c:v>
                </c:pt>
                <c:pt idx="115">
                  <c:v>149364543</c:v>
                </c:pt>
                <c:pt idx="116">
                  <c:v>131923136</c:v>
                </c:pt>
                <c:pt idx="117">
                  <c:v>129428087</c:v>
                </c:pt>
                <c:pt idx="118">
                  <c:v>133425806</c:v>
                </c:pt>
                <c:pt idx="119">
                  <c:v>137252421</c:v>
                </c:pt>
                <c:pt idx="120">
                  <c:v>139483995</c:v>
                </c:pt>
                <c:pt idx="121">
                  <c:v>129290507</c:v>
                </c:pt>
                <c:pt idx="122">
                  <c:v>138164067</c:v>
                </c:pt>
                <c:pt idx="123">
                  <c:v>120999808</c:v>
                </c:pt>
                <c:pt idx="124">
                  <c:v>130145724</c:v>
                </c:pt>
                <c:pt idx="125">
                  <c:v>136402808</c:v>
                </c:pt>
                <c:pt idx="126">
                  <c:v>144866595</c:v>
                </c:pt>
                <c:pt idx="127">
                  <c:v>143235418</c:v>
                </c:pt>
                <c:pt idx="128">
                  <c:v>124350425</c:v>
                </c:pt>
                <c:pt idx="129">
                  <c:v>129860299</c:v>
                </c:pt>
                <c:pt idx="130">
                  <c:v>131299426</c:v>
                </c:pt>
                <c:pt idx="131">
                  <c:v>131260972</c:v>
                </c:pt>
                <c:pt idx="132">
                  <c:v>141950997</c:v>
                </c:pt>
                <c:pt idx="133">
                  <c:v>134079334</c:v>
                </c:pt>
                <c:pt idx="134">
                  <c:v>137122151</c:v>
                </c:pt>
                <c:pt idx="135">
                  <c:v>124757179</c:v>
                </c:pt>
                <c:pt idx="136">
                  <c:v>128722398</c:v>
                </c:pt>
                <c:pt idx="137">
                  <c:v>139397997</c:v>
                </c:pt>
                <c:pt idx="138">
                  <c:v>134351987</c:v>
                </c:pt>
                <c:pt idx="139">
                  <c:v>145489294</c:v>
                </c:pt>
                <c:pt idx="140">
                  <c:v>128127734</c:v>
                </c:pt>
                <c:pt idx="141">
                  <c:v>130195410</c:v>
                </c:pt>
                <c:pt idx="142">
                  <c:v>132285360</c:v>
                </c:pt>
                <c:pt idx="143">
                  <c:v>132714082</c:v>
                </c:pt>
                <c:pt idx="144">
                  <c:v>140041421</c:v>
                </c:pt>
                <c:pt idx="145">
                  <c:v>132651127</c:v>
                </c:pt>
                <c:pt idx="146">
                  <c:v>133457374</c:v>
                </c:pt>
                <c:pt idx="147">
                  <c:v>122596206</c:v>
                </c:pt>
                <c:pt idx="148">
                  <c:v>121120167</c:v>
                </c:pt>
                <c:pt idx="149">
                  <c:v>130438115</c:v>
                </c:pt>
                <c:pt idx="150">
                  <c:v>139693948</c:v>
                </c:pt>
                <c:pt idx="151">
                  <c:v>131943162</c:v>
                </c:pt>
                <c:pt idx="152">
                  <c:v>126425825</c:v>
                </c:pt>
                <c:pt idx="153">
                  <c:v>125628543</c:v>
                </c:pt>
                <c:pt idx="154">
                  <c:v>125038661</c:v>
                </c:pt>
                <c:pt idx="155">
                  <c:v>128488680</c:v>
                </c:pt>
                <c:pt idx="156" formatCode="#,##0">
                  <c:v>132884999</c:v>
                </c:pt>
                <c:pt idx="157" formatCode="#,##0">
                  <c:v>117645114</c:v>
                </c:pt>
                <c:pt idx="158" formatCode="#,##0">
                  <c:v>124919264</c:v>
                </c:pt>
                <c:pt idx="159" formatCode="#,##0">
                  <c:v>113413654</c:v>
                </c:pt>
                <c:pt idx="160" formatCode="#,##0">
                  <c:v>110681364</c:v>
                </c:pt>
                <c:pt idx="161" formatCode="#,##0">
                  <c:v>118125725</c:v>
                </c:pt>
                <c:pt idx="162" formatCode="#,##0">
                  <c:v>117925787</c:v>
                </c:pt>
                <c:pt idx="163" formatCode="#,##0">
                  <c:v>129756657</c:v>
                </c:pt>
                <c:pt idx="164" formatCode="#,##0">
                  <c:v>117720372</c:v>
                </c:pt>
                <c:pt idx="165" formatCode="#,##0">
                  <c:v>119665804</c:v>
                </c:pt>
                <c:pt idx="166" formatCode="#,##0">
                  <c:v>119039063</c:v>
                </c:pt>
                <c:pt idx="167" formatCode="#,##0">
                  <c:v>128577043</c:v>
                </c:pt>
                <c:pt idx="168" formatCode="#,##0">
                  <c:v>134104887</c:v>
                </c:pt>
                <c:pt idx="169" formatCode="#,##0">
                  <c:v>119717521</c:v>
                </c:pt>
                <c:pt idx="170" formatCode="#,##0">
                  <c:v>125455107</c:v>
                </c:pt>
                <c:pt idx="171" formatCode="#,##0">
                  <c:v>112822227</c:v>
                </c:pt>
                <c:pt idx="172" formatCode="#,##0">
                  <c:v>122392253</c:v>
                </c:pt>
                <c:pt idx="173" formatCode="#,##0">
                  <c:v>127582818</c:v>
                </c:pt>
                <c:pt idx="174" formatCode="#,##0">
                  <c:v>140727870</c:v>
                </c:pt>
                <c:pt idx="175" formatCode="#,##0">
                  <c:v>139365541</c:v>
                </c:pt>
                <c:pt idx="176" formatCode="#,##0">
                  <c:v>119162847</c:v>
                </c:pt>
                <c:pt idx="177" formatCode="#,##0">
                  <c:v>117558713</c:v>
                </c:pt>
                <c:pt idx="178" formatCode="#,##0">
                  <c:v>122844772</c:v>
                </c:pt>
                <c:pt idx="179" formatCode="#,##0">
                  <c:v>131431074</c:v>
                </c:pt>
                <c:pt idx="180" formatCode="#,##0">
                  <c:v>136150616.80916667</c:v>
                </c:pt>
                <c:pt idx="181" formatCode="#,##0">
                  <c:v>122763330.80916667</c:v>
                </c:pt>
                <c:pt idx="182" formatCode="#,##0">
                  <c:v>131243784.80916667</c:v>
                </c:pt>
                <c:pt idx="183" formatCode="#,##0">
                  <c:v>114767690.80916667</c:v>
                </c:pt>
                <c:pt idx="184" formatCode="#,##0">
                  <c:v>114321528.80916667</c:v>
                </c:pt>
                <c:pt idx="185" formatCode="#,##0">
                  <c:v>124731711.80916667</c:v>
                </c:pt>
                <c:pt idx="186" formatCode="#,##0">
                  <c:v>144387087.80916667</c:v>
                </c:pt>
                <c:pt idx="187" formatCode="#,##0">
                  <c:v>137940608.80916667</c:v>
                </c:pt>
                <c:pt idx="188" formatCode="#,##0">
                  <c:v>121929647.80916667</c:v>
                </c:pt>
                <c:pt idx="189" formatCode="#,##0">
                  <c:v>120057899.80916667</c:v>
                </c:pt>
                <c:pt idx="190" formatCode="#,##0">
                  <c:v>123311493.80916667</c:v>
                </c:pt>
                <c:pt idx="191" formatCode="#,##0">
                  <c:v>127833865.80916667</c:v>
                </c:pt>
                <c:pt idx="192" formatCode="#,##0">
                  <c:v>134599029.95666668</c:v>
                </c:pt>
                <c:pt idx="193" formatCode="#,##0">
                  <c:v>124673922.26666667</c:v>
                </c:pt>
                <c:pt idx="194" formatCode="#,##0">
                  <c:v>124843814.56666668</c:v>
                </c:pt>
                <c:pt idx="195" formatCode="#,##0">
                  <c:v>118034723.41333333</c:v>
                </c:pt>
                <c:pt idx="196" formatCode="#,##0">
                  <c:v>123884608.03333333</c:v>
                </c:pt>
                <c:pt idx="197" formatCode="#,##0">
                  <c:v>130856826.21333334</c:v>
                </c:pt>
                <c:pt idx="198" formatCode="#,##0">
                  <c:v>145238062.58333334</c:v>
                </c:pt>
                <c:pt idx="199" formatCode="#,##0">
                  <c:v>136328817.12333333</c:v>
                </c:pt>
                <c:pt idx="200" formatCode="#,##0">
                  <c:v>118489635.30333333</c:v>
                </c:pt>
                <c:pt idx="201" formatCode="#,##0">
                  <c:v>120430908.03333333</c:v>
                </c:pt>
                <c:pt idx="202" formatCode="#,##0">
                  <c:v>124178017.12333333</c:v>
                </c:pt>
                <c:pt idx="203" formatCode="#,##0">
                  <c:v>125032971.67333333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24352"/>
        <c:axId val="203534336"/>
      </c:barChart>
      <c:lineChart>
        <c:grouping val="standard"/>
        <c:varyColors val="0"/>
        <c:ser>
          <c:idx val="1"/>
          <c:order val="1"/>
          <c:tx>
            <c:strRef>
              <c:f>'Purchased Power Model'!$N$2</c:f>
              <c:strCache>
                <c:ptCount val="1"/>
                <c:pt idx="0">
                  <c:v>Predicted Purchases </c:v>
                </c:pt>
              </c:strCache>
            </c:strRef>
          </c:tx>
          <c:marker>
            <c:symbol val="none"/>
          </c:marker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Model'!$N$3:$N$230</c:f>
              <c:numCache>
                <c:formatCode>#,##0_);\(#,##0\)</c:formatCode>
                <c:ptCount val="228"/>
                <c:pt idx="0">
                  <c:v>104167780.94324757</c:v>
                </c:pt>
                <c:pt idx="1">
                  <c:v>98340366.838100418</c:v>
                </c:pt>
                <c:pt idx="2">
                  <c:v>99598764.779709235</c:v>
                </c:pt>
                <c:pt idx="3">
                  <c:v>93259567.168654919</c:v>
                </c:pt>
                <c:pt idx="4">
                  <c:v>95172022.250508845</c:v>
                </c:pt>
                <c:pt idx="5">
                  <c:v>94134890.36785388</c:v>
                </c:pt>
                <c:pt idx="6">
                  <c:v>100172896.81903376</c:v>
                </c:pt>
                <c:pt idx="7">
                  <c:v>100330377.49164499</c:v>
                </c:pt>
                <c:pt idx="8">
                  <c:v>88410978.91744408</c:v>
                </c:pt>
                <c:pt idx="9">
                  <c:v>94217082.979368389</c:v>
                </c:pt>
                <c:pt idx="10">
                  <c:v>94159118.326332465</c:v>
                </c:pt>
                <c:pt idx="11">
                  <c:v>98672382.173782468</c:v>
                </c:pt>
                <c:pt idx="12">
                  <c:v>106993537.03268144</c:v>
                </c:pt>
                <c:pt idx="13">
                  <c:v>97575931.2090379</c:v>
                </c:pt>
                <c:pt idx="14">
                  <c:v>97625475.509581164</c:v>
                </c:pt>
                <c:pt idx="15">
                  <c:v>96632686.270270914</c:v>
                </c:pt>
                <c:pt idx="16">
                  <c:v>94977735.114658326</c:v>
                </c:pt>
                <c:pt idx="17">
                  <c:v>100584988.50103541</c:v>
                </c:pt>
                <c:pt idx="18">
                  <c:v>106347865.71829103</c:v>
                </c:pt>
                <c:pt idx="19">
                  <c:v>96977669.675020084</c:v>
                </c:pt>
                <c:pt idx="20">
                  <c:v>94079977.076430663</c:v>
                </c:pt>
                <c:pt idx="21">
                  <c:v>101153405.79934743</c:v>
                </c:pt>
                <c:pt idx="22">
                  <c:v>98554631.145821109</c:v>
                </c:pt>
                <c:pt idx="23">
                  <c:v>108134288.90131268</c:v>
                </c:pt>
                <c:pt idx="24">
                  <c:v>109604933.51362313</c:v>
                </c:pt>
                <c:pt idx="25">
                  <c:v>100378061.63128588</c:v>
                </c:pt>
                <c:pt idx="26">
                  <c:v>105526289.25748032</c:v>
                </c:pt>
                <c:pt idx="27">
                  <c:v>98792621.971489638</c:v>
                </c:pt>
                <c:pt idx="28">
                  <c:v>97589924.861409992</c:v>
                </c:pt>
                <c:pt idx="29">
                  <c:v>111219399.42987941</c:v>
                </c:pt>
                <c:pt idx="30">
                  <c:v>112989823.38741547</c:v>
                </c:pt>
                <c:pt idx="31">
                  <c:v>114459065.37719852</c:v>
                </c:pt>
                <c:pt idx="32">
                  <c:v>102860324.8357005</c:v>
                </c:pt>
                <c:pt idx="33">
                  <c:v>103397603.81425381</c:v>
                </c:pt>
                <c:pt idx="34">
                  <c:v>105895992.91658548</c:v>
                </c:pt>
                <c:pt idx="35">
                  <c:v>112929854.30217877</c:v>
                </c:pt>
                <c:pt idx="36">
                  <c:v>117897042.71534976</c:v>
                </c:pt>
                <c:pt idx="37">
                  <c:v>108560925.96945135</c:v>
                </c:pt>
                <c:pt idx="38">
                  <c:v>116613039.75036618</c:v>
                </c:pt>
                <c:pt idx="39">
                  <c:v>106765699.98648638</c:v>
                </c:pt>
                <c:pt idx="40">
                  <c:v>104959691.57870567</c:v>
                </c:pt>
                <c:pt idx="41">
                  <c:v>120645524.50433098</c:v>
                </c:pt>
                <c:pt idx="42">
                  <c:v>133363640.07289404</c:v>
                </c:pt>
                <c:pt idx="43">
                  <c:v>113898522.17375977</c:v>
                </c:pt>
                <c:pt idx="44">
                  <c:v>111881577.50006779</c:v>
                </c:pt>
                <c:pt idx="45">
                  <c:v>110919908.6147728</c:v>
                </c:pt>
                <c:pt idx="46">
                  <c:v>113941630.15587719</c:v>
                </c:pt>
                <c:pt idx="47">
                  <c:v>119766764.06640002</c:v>
                </c:pt>
                <c:pt idx="48">
                  <c:v>120492821.90546007</c:v>
                </c:pt>
                <c:pt idx="49">
                  <c:v>113587025.21155983</c:v>
                </c:pt>
                <c:pt idx="50">
                  <c:v>115423881.32107329</c:v>
                </c:pt>
                <c:pt idx="51">
                  <c:v>106062122.54318832</c:v>
                </c:pt>
                <c:pt idx="52">
                  <c:v>113622410.52851166</c:v>
                </c:pt>
                <c:pt idx="53">
                  <c:v>115466678.42933047</c:v>
                </c:pt>
                <c:pt idx="54">
                  <c:v>115704760.11627916</c:v>
                </c:pt>
                <c:pt idx="55">
                  <c:v>119371898.70504569</c:v>
                </c:pt>
                <c:pt idx="56">
                  <c:v>110348387.79666485</c:v>
                </c:pt>
                <c:pt idx="57">
                  <c:v>111406014.83376665</c:v>
                </c:pt>
                <c:pt idx="58">
                  <c:v>116963597.1377205</c:v>
                </c:pt>
                <c:pt idx="59">
                  <c:v>123589935.11323878</c:v>
                </c:pt>
                <c:pt idx="60">
                  <c:v>125757086.34712978</c:v>
                </c:pt>
                <c:pt idx="61">
                  <c:v>116297994.03462163</c:v>
                </c:pt>
                <c:pt idx="62">
                  <c:v>120606689.30411389</c:v>
                </c:pt>
                <c:pt idx="63">
                  <c:v>110134800.01137769</c:v>
                </c:pt>
                <c:pt idx="64">
                  <c:v>113644812.9174106</c:v>
                </c:pt>
                <c:pt idx="65">
                  <c:v>121347024.15808316</c:v>
                </c:pt>
                <c:pt idx="66">
                  <c:v>122934639.70666087</c:v>
                </c:pt>
                <c:pt idx="67">
                  <c:v>129017468.04544191</c:v>
                </c:pt>
                <c:pt idx="68">
                  <c:v>108462764.96973158</c:v>
                </c:pt>
                <c:pt idx="69">
                  <c:v>114711718.31717888</c:v>
                </c:pt>
                <c:pt idx="70">
                  <c:v>115401833.72189215</c:v>
                </c:pt>
                <c:pt idx="71">
                  <c:v>118273571.72274633</c:v>
                </c:pt>
                <c:pt idx="72">
                  <c:v>124218182.65175007</c:v>
                </c:pt>
                <c:pt idx="73">
                  <c:v>115923229.37708113</c:v>
                </c:pt>
                <c:pt idx="74">
                  <c:v>119287224.72050349</c:v>
                </c:pt>
                <c:pt idx="75">
                  <c:v>118151210.7254279</c:v>
                </c:pt>
                <c:pt idx="76">
                  <c:v>118302219.008194</c:v>
                </c:pt>
                <c:pt idx="77">
                  <c:v>120781190.02600272</c:v>
                </c:pt>
                <c:pt idx="78">
                  <c:v>139655096.41143507</c:v>
                </c:pt>
                <c:pt idx="79">
                  <c:v>127525115.99320731</c:v>
                </c:pt>
                <c:pt idx="80">
                  <c:v>118084378.33141866</c:v>
                </c:pt>
                <c:pt idx="81">
                  <c:v>121381028.4174127</c:v>
                </c:pt>
                <c:pt idx="82">
                  <c:v>120130601.22593838</c:v>
                </c:pt>
                <c:pt idx="83">
                  <c:v>127136036.73319077</c:v>
                </c:pt>
                <c:pt idx="84">
                  <c:v>134927844.47745648</c:v>
                </c:pt>
                <c:pt idx="85">
                  <c:v>123937022.0030451</c:v>
                </c:pt>
                <c:pt idx="86">
                  <c:v>125614765.89430049</c:v>
                </c:pt>
                <c:pt idx="87">
                  <c:v>119594483.37806758</c:v>
                </c:pt>
                <c:pt idx="88">
                  <c:v>118782865.1368141</c:v>
                </c:pt>
                <c:pt idx="89">
                  <c:v>121345026.10643713</c:v>
                </c:pt>
                <c:pt idx="90">
                  <c:v>128933831.34783092</c:v>
                </c:pt>
                <c:pt idx="91">
                  <c:v>130481504.63014033</c:v>
                </c:pt>
                <c:pt idx="92">
                  <c:v>118078671.17498285</c:v>
                </c:pt>
                <c:pt idx="93">
                  <c:v>125378700.22098482</c:v>
                </c:pt>
                <c:pt idx="94">
                  <c:v>122612894.65083118</c:v>
                </c:pt>
                <c:pt idx="95">
                  <c:v>131165656.23015438</c:v>
                </c:pt>
                <c:pt idx="96">
                  <c:v>137276645.4335441</c:v>
                </c:pt>
                <c:pt idx="97">
                  <c:v>125936663.03834786</c:v>
                </c:pt>
                <c:pt idx="98">
                  <c:v>129959722.08887319</c:v>
                </c:pt>
                <c:pt idx="99">
                  <c:v>121504273.59073965</c:v>
                </c:pt>
                <c:pt idx="100">
                  <c:v>120814738.3872564</c:v>
                </c:pt>
                <c:pt idx="101">
                  <c:v>125513499.37616953</c:v>
                </c:pt>
                <c:pt idx="102">
                  <c:v>131960265.68166116</c:v>
                </c:pt>
                <c:pt idx="103">
                  <c:v>129420256.44799517</c:v>
                </c:pt>
                <c:pt idx="104">
                  <c:v>123661806.87646212</c:v>
                </c:pt>
                <c:pt idx="105">
                  <c:v>125252426.80435298</c:v>
                </c:pt>
                <c:pt idx="106">
                  <c:v>130148691.87070104</c:v>
                </c:pt>
                <c:pt idx="107">
                  <c:v>137929108.66857153</c:v>
                </c:pt>
                <c:pt idx="108">
                  <c:v>138249394.65915012</c:v>
                </c:pt>
                <c:pt idx="109">
                  <c:v>132538321.22587751</c:v>
                </c:pt>
                <c:pt idx="110">
                  <c:v>136927414.19169667</c:v>
                </c:pt>
                <c:pt idx="111">
                  <c:v>127320364.97926188</c:v>
                </c:pt>
                <c:pt idx="112">
                  <c:v>127928589.22734314</c:v>
                </c:pt>
                <c:pt idx="113">
                  <c:v>146921809.16552457</c:v>
                </c:pt>
                <c:pt idx="114">
                  <c:v>145820278.93945572</c:v>
                </c:pt>
                <c:pt idx="115">
                  <c:v>142410282.15698972</c:v>
                </c:pt>
                <c:pt idx="116">
                  <c:v>127708595.04730521</c:v>
                </c:pt>
                <c:pt idx="117">
                  <c:v>129227104.96867049</c:v>
                </c:pt>
                <c:pt idx="118">
                  <c:v>133046363.36179629</c:v>
                </c:pt>
                <c:pt idx="119">
                  <c:v>139139463.1252242</c:v>
                </c:pt>
                <c:pt idx="120">
                  <c:v>138398830.95478958</c:v>
                </c:pt>
                <c:pt idx="121">
                  <c:v>133071676.33430028</c:v>
                </c:pt>
                <c:pt idx="122">
                  <c:v>138929635.47255671</c:v>
                </c:pt>
                <c:pt idx="123">
                  <c:v>125952124.10927297</c:v>
                </c:pt>
                <c:pt idx="124">
                  <c:v>134359112.19394016</c:v>
                </c:pt>
                <c:pt idx="125">
                  <c:v>135565552.35330755</c:v>
                </c:pt>
                <c:pt idx="126">
                  <c:v>150424218.41985995</c:v>
                </c:pt>
                <c:pt idx="127">
                  <c:v>140552429.72995025</c:v>
                </c:pt>
                <c:pt idx="128">
                  <c:v>127482359.27576585</c:v>
                </c:pt>
                <c:pt idx="129">
                  <c:v>135041293.44800174</c:v>
                </c:pt>
                <c:pt idx="130">
                  <c:v>136583497.15351197</c:v>
                </c:pt>
                <c:pt idx="131">
                  <c:v>137665492.89690253</c:v>
                </c:pt>
                <c:pt idx="132">
                  <c:v>143756834.67941064</c:v>
                </c:pt>
                <c:pt idx="133">
                  <c:v>136503911.82466128</c:v>
                </c:pt>
                <c:pt idx="134">
                  <c:v>137709793.32784203</c:v>
                </c:pt>
                <c:pt idx="135">
                  <c:v>127951272.01032317</c:v>
                </c:pt>
                <c:pt idx="136">
                  <c:v>129718908.59924315</c:v>
                </c:pt>
                <c:pt idx="137">
                  <c:v>133876917.17411137</c:v>
                </c:pt>
                <c:pt idx="138">
                  <c:v>137166247.58715224</c:v>
                </c:pt>
                <c:pt idx="139">
                  <c:v>141124892.87755823</c:v>
                </c:pt>
                <c:pt idx="140">
                  <c:v>126789635.89499302</c:v>
                </c:pt>
                <c:pt idx="141">
                  <c:v>132612912.0732803</c:v>
                </c:pt>
                <c:pt idx="142">
                  <c:v>136725422.05125508</c:v>
                </c:pt>
                <c:pt idx="143">
                  <c:v>138860570.53823832</c:v>
                </c:pt>
                <c:pt idx="144">
                  <c:v>141413214.71276823</c:v>
                </c:pt>
                <c:pt idx="145">
                  <c:v>131833558.06699833</c:v>
                </c:pt>
                <c:pt idx="146">
                  <c:v>132384618.6485558</c:v>
                </c:pt>
                <c:pt idx="147">
                  <c:v>127348534.34950708</c:v>
                </c:pt>
                <c:pt idx="148">
                  <c:v>126478531.53460397</c:v>
                </c:pt>
                <c:pt idx="149">
                  <c:v>133616052.91830327</c:v>
                </c:pt>
                <c:pt idx="150">
                  <c:v>141794535.03952301</c:v>
                </c:pt>
                <c:pt idx="151">
                  <c:v>130641218.11577363</c:v>
                </c:pt>
                <c:pt idx="152">
                  <c:v>127640324.3082706</c:v>
                </c:pt>
                <c:pt idx="153">
                  <c:v>134121989.61954355</c:v>
                </c:pt>
                <c:pt idx="154">
                  <c:v>132066095.04055357</c:v>
                </c:pt>
                <c:pt idx="155">
                  <c:v>141884992.58917096</c:v>
                </c:pt>
                <c:pt idx="156">
                  <c:v>135504855.37690324</c:v>
                </c:pt>
                <c:pt idx="157">
                  <c:v>121339332.7633023</c:v>
                </c:pt>
                <c:pt idx="158">
                  <c:v>123590159.32225068</c:v>
                </c:pt>
                <c:pt idx="159">
                  <c:v>113658253.84963508</c:v>
                </c:pt>
                <c:pt idx="160">
                  <c:v>111565512.67219052</c:v>
                </c:pt>
                <c:pt idx="161">
                  <c:v>118616976.48638627</c:v>
                </c:pt>
                <c:pt idx="162">
                  <c:v>118203361.64368893</c:v>
                </c:pt>
                <c:pt idx="163">
                  <c:v>123921290.50115147</c:v>
                </c:pt>
                <c:pt idx="164">
                  <c:v>113400126.82823333</c:v>
                </c:pt>
                <c:pt idx="165">
                  <c:v>119208284.61836886</c:v>
                </c:pt>
                <c:pt idx="166">
                  <c:v>116941227.32980731</c:v>
                </c:pt>
                <c:pt idx="167">
                  <c:v>128509987.52370118</c:v>
                </c:pt>
                <c:pt idx="168">
                  <c:v>127253006.35078485</c:v>
                </c:pt>
                <c:pt idx="169">
                  <c:v>118338058.61052926</c:v>
                </c:pt>
                <c:pt idx="170">
                  <c:v>123816423.99944039</c:v>
                </c:pt>
                <c:pt idx="171">
                  <c:v>113333619.51430276</c:v>
                </c:pt>
                <c:pt idx="172">
                  <c:v>118220532.90091264</c:v>
                </c:pt>
                <c:pt idx="173">
                  <c:v>122828216.24737301</c:v>
                </c:pt>
                <c:pt idx="174">
                  <c:v>138424672.63887307</c:v>
                </c:pt>
                <c:pt idx="175">
                  <c:v>134765321.79407689</c:v>
                </c:pt>
                <c:pt idx="176">
                  <c:v>120847841.83675122</c:v>
                </c:pt>
                <c:pt idx="177">
                  <c:v>119557802.71404749</c:v>
                </c:pt>
                <c:pt idx="178">
                  <c:v>120403204.70609066</c:v>
                </c:pt>
                <c:pt idx="179">
                  <c:v>134622638.67454782</c:v>
                </c:pt>
                <c:pt idx="180">
                  <c:v>133937295.33128126</c:v>
                </c:pt>
                <c:pt idx="181">
                  <c:v>123064248.7254484</c:v>
                </c:pt>
                <c:pt idx="182">
                  <c:v>132601678.37807158</c:v>
                </c:pt>
                <c:pt idx="183">
                  <c:v>120595349.72514728</c:v>
                </c:pt>
                <c:pt idx="184">
                  <c:v>123740602.2870013</c:v>
                </c:pt>
                <c:pt idx="185">
                  <c:v>126330230.36333689</c:v>
                </c:pt>
                <c:pt idx="186">
                  <c:v>145739406.87609884</c:v>
                </c:pt>
                <c:pt idx="187">
                  <c:v>134455877.48007083</c:v>
                </c:pt>
                <c:pt idx="188">
                  <c:v>122480765.87120661</c:v>
                </c:pt>
                <c:pt idx="189">
                  <c:v>121368300.3896172</c:v>
                </c:pt>
                <c:pt idx="190">
                  <c:v>124184964.57987577</c:v>
                </c:pt>
                <c:pt idx="191">
                  <c:v>129259031.86752725</c:v>
                </c:pt>
                <c:pt idx="192">
                  <c:v>131303686.29481696</c:v>
                </c:pt>
                <c:pt idx="193">
                  <c:v>124298772.14367996</c:v>
                </c:pt>
                <c:pt idx="194">
                  <c:v>124393134.50082317</c:v>
                </c:pt>
                <c:pt idx="195">
                  <c:v>119686732.88472262</c:v>
                </c:pt>
                <c:pt idx="196">
                  <c:v>123012404.49589892</c:v>
                </c:pt>
                <c:pt idx="197">
                  <c:v>129029667.27223361</c:v>
                </c:pt>
                <c:pt idx="198">
                  <c:v>140828727.67246106</c:v>
                </c:pt>
                <c:pt idx="199">
                  <c:v>130543639.16240814</c:v>
                </c:pt>
                <c:pt idx="200">
                  <c:v>115181804.33833902</c:v>
                </c:pt>
                <c:pt idx="201">
                  <c:v>121667275.9697549</c:v>
                </c:pt>
                <c:pt idx="202">
                  <c:v>125257125.04153003</c:v>
                </c:pt>
                <c:pt idx="203">
                  <c:v>126318144.94155149</c:v>
                </c:pt>
                <c:pt idx="204">
                  <c:v>135476135.26022354</c:v>
                </c:pt>
                <c:pt idx="205">
                  <c:v>123884970.52478372</c:v>
                </c:pt>
                <c:pt idx="206">
                  <c:v>127497544.03785904</c:v>
                </c:pt>
                <c:pt idx="207">
                  <c:v>124965031.43588951</c:v>
                </c:pt>
                <c:pt idx="208">
                  <c:v>125727671.38471967</c:v>
                </c:pt>
                <c:pt idx="209">
                  <c:v>127940359.60759453</c:v>
                </c:pt>
                <c:pt idx="210">
                  <c:v>139851532.15528405</c:v>
                </c:pt>
                <c:pt idx="211">
                  <c:v>133791773.20004374</c:v>
                </c:pt>
                <c:pt idx="212">
                  <c:v>122636444.70111181</c:v>
                </c:pt>
                <c:pt idx="213">
                  <c:v>128380853.12185498</c:v>
                </c:pt>
                <c:pt idx="214">
                  <c:v>128741579.68687309</c:v>
                </c:pt>
                <c:pt idx="215">
                  <c:v>133455403.33567588</c:v>
                </c:pt>
                <c:pt idx="216">
                  <c:v>138861490.88545799</c:v>
                </c:pt>
                <c:pt idx="217">
                  <c:v>127040227.811794</c:v>
                </c:pt>
                <c:pt idx="218">
                  <c:v>131861223.20080183</c:v>
                </c:pt>
                <c:pt idx="219">
                  <c:v>123806951.35285439</c:v>
                </c:pt>
                <c:pt idx="220">
                  <c:v>125121022.61444502</c:v>
                </c:pt>
                <c:pt idx="221">
                  <c:v>129342433.5231847</c:v>
                </c:pt>
                <c:pt idx="222">
                  <c:v>138083294.80267185</c:v>
                </c:pt>
                <c:pt idx="223">
                  <c:v>130430001.93084197</c:v>
                </c:pt>
                <c:pt idx="224">
                  <c:v>122916486.94623096</c:v>
                </c:pt>
                <c:pt idx="225">
                  <c:v>127142446.08617555</c:v>
                </c:pt>
                <c:pt idx="226">
                  <c:v>123607645.20885007</c:v>
                </c:pt>
                <c:pt idx="227">
                  <c:v>134227733.57983226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24352"/>
        <c:axId val="203534336"/>
      </c:lineChart>
      <c:dateAx>
        <c:axId val="20352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3534336"/>
        <c:crosses val="autoZero"/>
        <c:auto val="1"/>
        <c:lblOffset val="100"/>
        <c:baseTimeUnit val="months"/>
      </c:dateAx>
      <c:valAx>
        <c:axId val="203534336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20352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57723325138874"/>
          <c:y val="3.1012026109562871E-2"/>
          <c:w val="0.20442276674861132"/>
          <c:h val="0.13037474828710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357186</xdr:colOff>
      <xdr:row>46</xdr:row>
      <xdr:rowOff>76199</xdr:rowOff>
    </xdr:from>
    <xdr:to>
      <xdr:col>15</xdr:col>
      <xdr:colOff>514349</xdr:colOff>
      <xdr:row>70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Q50" sqref="Q50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06"/>
      <c r="B4" s="306" t="s">
        <v>93</v>
      </c>
      <c r="C4" s="105" t="s">
        <v>94</v>
      </c>
    </row>
    <row r="5" spans="1:3" x14ac:dyDescent="0.2">
      <c r="A5" s="306"/>
      <c r="B5" s="306"/>
      <c r="C5" s="306"/>
    </row>
    <row r="6" spans="1:3" x14ac:dyDescent="0.2">
      <c r="A6" s="306">
        <v>1996</v>
      </c>
      <c r="B6" s="307">
        <f>'Purchased Power Model'!B234/1000000</f>
        <v>1126.778593</v>
      </c>
      <c r="C6" s="307">
        <f>'Purchased Power Model'!N234/1000000</f>
        <v>1160.636229055681</v>
      </c>
    </row>
    <row r="7" spans="1:3" x14ac:dyDescent="0.2">
      <c r="A7" s="306">
        <v>1997</v>
      </c>
      <c r="B7" s="307">
        <f>'Purchased Power Model'!B235/1000000</f>
        <v>1202.822244</v>
      </c>
      <c r="C7" s="307">
        <f>'Purchased Power Model'!N235/1000000</f>
        <v>1199.6381919534881</v>
      </c>
    </row>
    <row r="8" spans="1:3" x14ac:dyDescent="0.2">
      <c r="A8" s="306">
        <v>1998</v>
      </c>
      <c r="B8" s="307">
        <f>'Purchased Power Model'!B236/1000000</f>
        <v>1272.5511570000001</v>
      </c>
      <c r="C8" s="307">
        <f>'Purchased Power Model'!N236/1000000</f>
        <v>1275.6438952985011</v>
      </c>
    </row>
    <row r="9" spans="1:3" x14ac:dyDescent="0.2">
      <c r="A9" s="306">
        <v>1999</v>
      </c>
      <c r="B9" s="307">
        <f>'Purchased Power Model'!B237/1000000</f>
        <v>1350.8153901000001</v>
      </c>
      <c r="C9" s="307">
        <f>'Purchased Power Model'!N237/1000000</f>
        <v>1379.2139670884619</v>
      </c>
    </row>
    <row r="10" spans="1:3" x14ac:dyDescent="0.2">
      <c r="A10" s="306">
        <v>2000</v>
      </c>
      <c r="B10" s="307">
        <f>'Purchased Power Model'!B238/1000000</f>
        <v>1392.1735917999999</v>
      </c>
      <c r="C10" s="307">
        <f>'Purchased Power Model'!N238/1000000</f>
        <v>1382.0395336418392</v>
      </c>
    </row>
    <row r="11" spans="1:3" x14ac:dyDescent="0.2">
      <c r="A11" s="306">
        <v>2001</v>
      </c>
      <c r="B11" s="307">
        <f>'Purchased Power Model'!B239/1000000</f>
        <v>1420.9777300000001</v>
      </c>
      <c r="C11" s="307">
        <f>'Purchased Power Model'!N239/1000000</f>
        <v>1416.5904032563885</v>
      </c>
    </row>
    <row r="12" spans="1:3" x14ac:dyDescent="0.2">
      <c r="A12" s="306">
        <v>2002</v>
      </c>
      <c r="B12" s="307">
        <f>'Purchased Power Model'!B240/1000000</f>
        <v>1519.1447559999999</v>
      </c>
      <c r="C12" s="307">
        <f>'Purchased Power Model'!N240/1000000</f>
        <v>1470.5755136215623</v>
      </c>
    </row>
    <row r="13" spans="1:3" x14ac:dyDescent="0.2">
      <c r="A13" s="306">
        <v>2003</v>
      </c>
      <c r="B13" s="307">
        <f>'Purchased Power Model'!B241/1000000</f>
        <v>1523.7175299999999</v>
      </c>
      <c r="C13" s="307">
        <f>'Purchased Power Model'!N241/1000000</f>
        <v>1500.8532652510455</v>
      </c>
    </row>
    <row r="14" spans="1:3" x14ac:dyDescent="0.2">
      <c r="A14" s="306">
        <v>2004</v>
      </c>
      <c r="B14" s="307">
        <f>'Purchased Power Model'!B242/1000000</f>
        <v>1570.4059299999999</v>
      </c>
      <c r="C14" s="307">
        <f>'Purchased Power Model'!N242/1000000</f>
        <v>1539.3780982646749</v>
      </c>
    </row>
    <row r="15" spans="1:3" x14ac:dyDescent="0.2">
      <c r="A15" s="306">
        <v>2005</v>
      </c>
      <c r="B15" s="307">
        <f>'Purchased Power Model'!B243/1000000</f>
        <v>1640.988662</v>
      </c>
      <c r="C15" s="307">
        <f>'Purchased Power Model'!N243/1000000</f>
        <v>1627.2379810482955</v>
      </c>
    </row>
    <row r="16" spans="1:3" x14ac:dyDescent="0.2">
      <c r="A16" s="306">
        <v>2006</v>
      </c>
      <c r="B16" s="307">
        <f>'Purchased Power Model'!B244/1000000</f>
        <v>1599.360044</v>
      </c>
      <c r="C16" s="307">
        <f>'Purchased Power Model'!N244/1000000</f>
        <v>1634.0262223421594</v>
      </c>
    </row>
    <row r="17" spans="1:3" x14ac:dyDescent="0.2">
      <c r="A17" s="306">
        <v>2007</v>
      </c>
      <c r="B17" s="307">
        <f>'Purchased Power Model'!B245/1000000</f>
        <v>1609.193923</v>
      </c>
      <c r="C17" s="307">
        <f>'Purchased Power Model'!N245/1000000</f>
        <v>1622.7973186380689</v>
      </c>
    </row>
    <row r="18" spans="1:3" x14ac:dyDescent="0.2">
      <c r="A18" s="306">
        <v>2008</v>
      </c>
      <c r="B18" s="307">
        <f>'Purchased Power Model'!B246/1000000</f>
        <v>1557.5232289999999</v>
      </c>
      <c r="C18" s="307">
        <f>'Purchased Power Model'!N246/1000000</f>
        <v>1601.223664943572</v>
      </c>
    </row>
    <row r="19" spans="1:3" x14ac:dyDescent="0.2">
      <c r="A19" s="306">
        <v>2009</v>
      </c>
      <c r="B19" s="307">
        <f>'Purchased Power Model'!B247/1000000</f>
        <v>1450.354846</v>
      </c>
      <c r="C19" s="307">
        <f>'Purchased Power Model'!N247/1000000</f>
        <v>1444.4593689156191</v>
      </c>
    </row>
    <row r="20" spans="1:3" x14ac:dyDescent="0.2">
      <c r="A20" s="306">
        <v>2010</v>
      </c>
      <c r="B20" s="307">
        <f>'Purchased Power Model'!B248/1000000</f>
        <v>1513.16563</v>
      </c>
      <c r="C20" s="307">
        <f>'Purchased Power Model'!N248/1000000</f>
        <v>1492.4113399877301</v>
      </c>
    </row>
    <row r="21" spans="1:3" x14ac:dyDescent="0.2">
      <c r="A21" s="306">
        <v>2011</v>
      </c>
      <c r="B21" s="307">
        <f>'Purchased Power Model'!B249/1000000</f>
        <v>1519.43926771</v>
      </c>
      <c r="C21" s="307">
        <f>'Purchased Power Model'!N249/1000000</f>
        <v>1537.7577518746832</v>
      </c>
    </row>
    <row r="22" spans="1:3" x14ac:dyDescent="0.2">
      <c r="A22" s="306">
        <v>2012</v>
      </c>
      <c r="B22" s="307">
        <f>'Purchased Power Model'!B250/1000000</f>
        <v>1526.5913362900003</v>
      </c>
      <c r="C22" s="307">
        <f>'Purchased Power Model'!N250/1000000</f>
        <v>1511.5211147182199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1160.636229055681</v>
      </c>
      <c r="D49" s="64">
        <f>C49/B49-1</f>
        <v>3.0048171189990924E-2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1199.6381919534881</v>
      </c>
      <c r="D50" s="64">
        <f t="shared" ref="D50:D61" si="1">C50/B50-1</f>
        <v>-2.6471509505205937E-3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1275.6438952985011</v>
      </c>
      <c r="D51" s="64">
        <f t="shared" si="1"/>
        <v>2.4303449660854071E-3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1379.2139670884619</v>
      </c>
      <c r="D52" s="64">
        <f t="shared" si="1"/>
        <v>2.1023285044420081E-2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1382.0395336418392</v>
      </c>
      <c r="D53" s="64">
        <f t="shared" si="1"/>
        <v>-7.2793064154147435E-3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1416.5904032563885</v>
      </c>
      <c r="D54" s="64">
        <f t="shared" si="1"/>
        <v>-3.0875408185401243E-3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1470.5755136215623</v>
      </c>
      <c r="D55" s="64">
        <f t="shared" si="1"/>
        <v>-3.1971437999314345E-2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1500.8532652510455</v>
      </c>
      <c r="D56" s="64">
        <f t="shared" si="1"/>
        <v>-1.5005579642412004E-2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1539.3780982646749</v>
      </c>
      <c r="D57" s="64">
        <f t="shared" si="1"/>
        <v>-1.9757841678122667E-2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1627.2379810482955</v>
      </c>
      <c r="D58" s="64">
        <f t="shared" si="1"/>
        <v>-8.3795100296094605E-3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1634.0262223421594</v>
      </c>
      <c r="D59" s="64">
        <f t="shared" si="1"/>
        <v>2.1675030880138335E-2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1622.7973186380689</v>
      </c>
      <c r="D60" s="64">
        <f t="shared" si="1"/>
        <v>8.4535464891069001E-3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1601.223664943572</v>
      </c>
      <c r="D61" s="64">
        <f t="shared" si="1"/>
        <v>2.8057646351528076E-2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1444.4593689156191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1492.4113399877301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144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92" t="s">
        <v>211</v>
      </c>
      <c r="B2" s="393"/>
      <c r="C2" s="393"/>
      <c r="D2" s="393"/>
      <c r="E2" s="393"/>
      <c r="F2" s="393"/>
      <c r="G2" s="393"/>
      <c r="H2" s="393"/>
      <c r="I2" s="394"/>
    </row>
    <row r="3" spans="1:16" ht="45" x14ac:dyDescent="0.2">
      <c r="A3" s="268" t="s">
        <v>89</v>
      </c>
      <c r="B3" s="269"/>
      <c r="C3" s="187"/>
      <c r="D3" s="267" t="s">
        <v>166</v>
      </c>
      <c r="E3" s="267" t="s">
        <v>167</v>
      </c>
      <c r="F3" s="267" t="s">
        <v>168</v>
      </c>
      <c r="G3" s="267" t="s">
        <v>169</v>
      </c>
      <c r="H3" s="267" t="s">
        <v>170</v>
      </c>
      <c r="I3" s="267" t="s">
        <v>171</v>
      </c>
    </row>
    <row r="4" spans="1:16" ht="15" x14ac:dyDescent="0.2">
      <c r="A4" s="384" t="s">
        <v>172</v>
      </c>
      <c r="B4" s="385"/>
      <c r="C4" s="385"/>
      <c r="D4" s="385"/>
      <c r="E4" s="385"/>
      <c r="F4" s="385"/>
      <c r="G4" s="385"/>
      <c r="H4" s="385"/>
      <c r="I4" s="386"/>
    </row>
    <row r="5" spans="1:16" ht="15" x14ac:dyDescent="0.2">
      <c r="A5" s="387"/>
      <c r="B5" s="388"/>
      <c r="C5" s="388"/>
      <c r="D5" s="388"/>
      <c r="E5" s="388"/>
      <c r="F5" s="388"/>
      <c r="G5" s="388"/>
      <c r="H5" s="388"/>
      <c r="I5" s="391"/>
      <c r="N5" s="190"/>
      <c r="O5" s="190"/>
      <c r="P5" s="190"/>
    </row>
    <row r="6" spans="1:16" ht="15" x14ac:dyDescent="0.2">
      <c r="A6" s="191" t="s">
        <v>212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87"/>
      <c r="B7" s="388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173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213</v>
      </c>
      <c r="B16" s="192"/>
      <c r="C16" s="188"/>
      <c r="D16" s="193">
        <f>Summary!J12/1000000</f>
        <v>1455.1122390806343</v>
      </c>
      <c r="E16" s="194">
        <f t="shared" si="0"/>
        <v>-63.513444039201886</v>
      </c>
      <c r="F16" s="195">
        <f t="shared" si="1"/>
        <v>-4.182297503932704E-2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174</v>
      </c>
      <c r="B17" s="192"/>
      <c r="C17" s="207"/>
      <c r="D17" s="193">
        <f>Summary!K12/1000000</f>
        <v>1508.9924556342262</v>
      </c>
      <c r="E17" s="194">
        <f t="shared" si="0"/>
        <v>53.880216553591936</v>
      </c>
      <c r="F17" s="195">
        <f t="shared" si="1"/>
        <v>3.702822030253447E-2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175</v>
      </c>
      <c r="B18" s="192"/>
      <c r="C18" s="207"/>
      <c r="D18" s="193">
        <f>Summary!L12/1000000</f>
        <v>1511.6081227106392</v>
      </c>
      <c r="E18" s="194">
        <f t="shared" si="0"/>
        <v>2.6156670764130467</v>
      </c>
      <c r="F18" s="195">
        <f t="shared" si="1"/>
        <v>1.7333864504403289E-3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214</v>
      </c>
      <c r="B19" s="192"/>
      <c r="C19" s="207"/>
      <c r="D19" s="193">
        <f>Summary!M12/1000000</f>
        <v>1524.9073127115221</v>
      </c>
      <c r="E19" s="194">
        <f t="shared" si="0"/>
        <v>13.299190000882845</v>
      </c>
      <c r="F19" s="195">
        <f t="shared" si="1"/>
        <v>8.7980408421162292E-3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217</v>
      </c>
      <c r="B20" s="188"/>
      <c r="C20" s="207"/>
      <c r="D20" s="201">
        <f>Summary!N12/1000000</f>
        <v>1529.961781492744</v>
      </c>
      <c r="E20" s="202">
        <f t="shared" si="0"/>
        <v>5.0544687812218854</v>
      </c>
      <c r="F20" s="203">
        <f t="shared" si="1"/>
        <v>3.3146072151980532E-3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218</v>
      </c>
      <c r="B21" s="188"/>
      <c r="C21" s="207"/>
      <c r="D21" s="201">
        <f>Summary!O12/1000000</f>
        <v>1519.910890719239</v>
      </c>
      <c r="E21" s="202">
        <f t="shared" si="0"/>
        <v>-10.050890773504989</v>
      </c>
      <c r="F21" s="203">
        <f t="shared" si="1"/>
        <v>-6.5693737550088314E-3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410" t="s">
        <v>219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</row>
    <row r="24" spans="1:14" ht="60" x14ac:dyDescent="0.2">
      <c r="A24" s="389" t="s">
        <v>89</v>
      </c>
      <c r="B24" s="390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95" t="s">
        <v>176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</row>
    <row r="26" spans="1:14" ht="14.25" customHeight="1" x14ac:dyDescent="0.2">
      <c r="A26" s="396"/>
      <c r="B26" s="396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96"/>
      <c r="B28" s="396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457.22568257655195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1561.1028595852933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403" t="str">
        <f t="shared" si="4"/>
        <v xml:space="preserve">2008 Actual </v>
      </c>
      <c r="B36" s="404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403" t="str">
        <f t="shared" si="4"/>
        <v xml:space="preserve">2009 Actual </v>
      </c>
      <c r="B37" s="404"/>
      <c r="C37" s="188"/>
      <c r="D37" s="193">
        <f>Summary!J17/1000000</f>
        <v>379.58271377996499</v>
      </c>
      <c r="E37" s="193">
        <f>Summary!J21/1000000</f>
        <v>160.300294190068</v>
      </c>
      <c r="F37" s="193">
        <f>Summary!J25/1000000</f>
        <v>432.46196679929602</v>
      </c>
      <c r="G37" s="193">
        <f>Summary!J30/1000000</f>
        <v>193.002685329987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9.4705301599761196</v>
      </c>
      <c r="K37" s="193">
        <f>Summary!J50/1000000</f>
        <v>2.1356569424311598</v>
      </c>
      <c r="L37" s="193">
        <f>Summary!J54/1000000</f>
        <v>54.272535558917205</v>
      </c>
      <c r="M37" s="272">
        <f t="shared" si="5"/>
        <v>1455.1122390806343</v>
      </c>
      <c r="N37" s="211"/>
    </row>
    <row r="38" spans="1:20" s="206" customFormat="1" ht="15" customHeight="1" x14ac:dyDescent="0.25">
      <c r="A38" s="403" t="str">
        <f t="shared" si="4"/>
        <v xml:space="preserve">2010 Actual </v>
      </c>
      <c r="B38" s="404"/>
      <c r="C38" s="188"/>
      <c r="D38" s="193">
        <f>Summary!K17/1000000</f>
        <v>396.266835394981</v>
      </c>
      <c r="E38" s="193">
        <f>Summary!K21/1000000</f>
        <v>163.47989281864901</v>
      </c>
      <c r="F38" s="193">
        <f>Summary!K25/1000000</f>
        <v>426.51375556307801</v>
      </c>
      <c r="G38" s="193">
        <f>Summary!K30/1000000</f>
        <v>220.91766845862401</v>
      </c>
      <c r="H38" s="193">
        <f>Summary!K35/1000000</f>
        <v>196.557280622706</v>
      </c>
      <c r="I38" s="193">
        <f>Summary!K40/1000000</f>
        <v>43.796746470000002</v>
      </c>
      <c r="J38" s="193">
        <f>Summary!K45/1000000</f>
        <v>9.5192059225450993</v>
      </c>
      <c r="K38" s="193">
        <f>Summary!K50/1000000</f>
        <v>2.1302419105078498</v>
      </c>
      <c r="L38" s="193">
        <f>Summary!K54/1000000</f>
        <v>49.810828473134947</v>
      </c>
      <c r="M38" s="272">
        <f t="shared" si="5"/>
        <v>1508.9924556342262</v>
      </c>
      <c r="N38" s="211"/>
    </row>
    <row r="39" spans="1:20" s="206" customFormat="1" ht="15" x14ac:dyDescent="0.25">
      <c r="A39" s="403" t="str">
        <f t="shared" si="4"/>
        <v xml:space="preserve">2011 Actual </v>
      </c>
      <c r="B39" s="404"/>
      <c r="C39" s="275"/>
      <c r="D39" s="193">
        <f>Summary!L17/1000000</f>
        <v>396.55672036740702</v>
      </c>
      <c r="E39" s="193">
        <f>Summary!L21/1000000</f>
        <v>158.32206924360298</v>
      </c>
      <c r="F39" s="193">
        <f>Summary!L25/1000000</f>
        <v>437.15903608214199</v>
      </c>
      <c r="G39" s="193">
        <f>Summary!L30/1000000</f>
        <v>240.76717487713</v>
      </c>
      <c r="H39" s="193">
        <f>Summary!L35/1000000</f>
        <v>169.19580019187001</v>
      </c>
      <c r="I39" s="193">
        <f>Summary!L40/1000000</f>
        <v>46.75374094</v>
      </c>
      <c r="J39" s="193">
        <f>Summary!L45/1000000</f>
        <v>9.5194855138937502</v>
      </c>
      <c r="K39" s="193">
        <f>Summary!L50/1000000</f>
        <v>2.0676105874618398</v>
      </c>
      <c r="L39" s="193">
        <f>Summary!L54/1000000</f>
        <v>51.266484907131428</v>
      </c>
      <c r="M39" s="272">
        <f t="shared" si="5"/>
        <v>1511.6081227106386</v>
      </c>
      <c r="N39" s="211"/>
    </row>
    <row r="40" spans="1:20" s="206" customFormat="1" ht="15" x14ac:dyDescent="0.25">
      <c r="A40" s="403" t="str">
        <f t="shared" si="4"/>
        <v xml:space="preserve">2012 Actual </v>
      </c>
      <c r="B40" s="404"/>
      <c r="C40" s="275"/>
      <c r="D40" s="193">
        <f>Summary!M17/1000000</f>
        <v>399.58757813183598</v>
      </c>
      <c r="E40" s="193">
        <f>Summary!M21/1000000</f>
        <v>158.595034376005</v>
      </c>
      <c r="F40" s="193">
        <f>Summary!M25/1000000</f>
        <v>437.40127948903603</v>
      </c>
      <c r="G40" s="193">
        <f>Summary!M30/1000000</f>
        <v>226.22993917028799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2.0153895967450501</v>
      </c>
      <c r="L40" s="193">
        <f>Summary!M54/1000000</f>
        <v>44.790760353888793</v>
      </c>
      <c r="M40" s="272">
        <f t="shared" si="5"/>
        <v>1524.9073127115223</v>
      </c>
      <c r="N40" s="211"/>
      <c r="O40"/>
      <c r="P40"/>
      <c r="Q40"/>
      <c r="R40"/>
      <c r="S40"/>
    </row>
    <row r="41" spans="1:20" s="206" customFormat="1" ht="15" x14ac:dyDescent="0.25">
      <c r="A41" s="405" t="str">
        <f t="shared" si="4"/>
        <v>2013 Bridge</v>
      </c>
      <c r="B41" s="406"/>
      <c r="C41" s="275"/>
      <c r="D41" s="201">
        <f>Summary!N17/1000000</f>
        <v>403.18854092166174</v>
      </c>
      <c r="E41" s="201">
        <f>Summary!N21/1000000</f>
        <v>158.30027792936056</v>
      </c>
      <c r="F41" s="201">
        <f>Summary!N25/1000000</f>
        <v>438.30886157751542</v>
      </c>
      <c r="G41" s="201">
        <f>Summary!N30/1000000</f>
        <v>224.48782583876388</v>
      </c>
      <c r="H41" s="201">
        <f>Summary!N35/1000000</f>
        <v>204.33752174348558</v>
      </c>
      <c r="I41" s="201">
        <f>Summary!N40/1000000</f>
        <v>45.724232197163616</v>
      </c>
      <c r="J41" s="201">
        <f>Summary!N45/1000000</f>
        <v>9.6305076141368318</v>
      </c>
      <c r="K41" s="201">
        <f>Summary!N50/1000000</f>
        <v>1.8784399969108163</v>
      </c>
      <c r="L41" s="201">
        <f>Summary!N54/1000000</f>
        <v>44.105573673745525</v>
      </c>
      <c r="M41" s="276">
        <f t="shared" si="5"/>
        <v>1529.961781492744</v>
      </c>
      <c r="N41" s="213"/>
    </row>
    <row r="42" spans="1:20" s="206" customFormat="1" ht="15" x14ac:dyDescent="0.25">
      <c r="A42" s="407" t="str">
        <f t="shared" si="4"/>
        <v>2014 Test</v>
      </c>
      <c r="B42" s="408"/>
      <c r="C42" s="275"/>
      <c r="D42" s="277">
        <f>Summary!O17/1000000</f>
        <v>400.64608843738563</v>
      </c>
      <c r="E42" s="277">
        <f>Summary!O21/1000000</f>
        <v>155.6074172360687</v>
      </c>
      <c r="F42" s="277">
        <f>Summary!O25/1000000</f>
        <v>434.54808930767496</v>
      </c>
      <c r="G42" s="277">
        <f>Summary!O30/1000000</f>
        <v>221.36980697822429</v>
      </c>
      <c r="H42" s="277">
        <f>Summary!O35/1000000</f>
        <v>207.07234900780674</v>
      </c>
      <c r="I42" s="277">
        <f>Summary!O40/1000000</f>
        <v>45.894936545319716</v>
      </c>
      <c r="J42" s="277">
        <f>Summary!O45/1000000</f>
        <v>9.5944394543452542</v>
      </c>
      <c r="K42" s="277">
        <f>Summary!O50/1000000</f>
        <v>1.7468951152104537</v>
      </c>
      <c r="L42" s="277">
        <f>Summary!O54/1000000</f>
        <v>43.430868637203233</v>
      </c>
      <c r="M42" s="278">
        <f t="shared" si="5"/>
        <v>1519.910890719239</v>
      </c>
      <c r="N42" s="213"/>
    </row>
    <row r="43" spans="1:20" x14ac:dyDescent="0.2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211"/>
    </row>
    <row r="44" spans="1:20" ht="15" x14ac:dyDescent="0.2">
      <c r="A44" s="395" t="s">
        <v>177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211"/>
    </row>
    <row r="45" spans="1:20" x14ac:dyDescent="0.2">
      <c r="A45" s="400"/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2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97"/>
      <c r="B47" s="397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1" t="s">
        <v>227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3"/>
    </row>
    <row r="64" spans="1:22" ht="60" x14ac:dyDescent="0.2">
      <c r="A64" s="398" t="s">
        <v>89</v>
      </c>
      <c r="B64" s="399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95" t="s">
        <v>178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</row>
    <row r="66" spans="1:12" ht="15" x14ac:dyDescent="0.2">
      <c r="A66" s="396"/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96"/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706685.75359590712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8639.3480086025284</v>
      </c>
      <c r="E77" s="196">
        <f t="shared" si="13"/>
        <v>35304.546677693645</v>
      </c>
      <c r="F77" s="196">
        <f t="shared" si="13"/>
        <v>624043.24213462626</v>
      </c>
      <c r="G77" s="196">
        <f t="shared" si="13"/>
        <v>7283120.2011315851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760.1051534954147</v>
      </c>
      <c r="K77" s="196">
        <f t="shared" si="13"/>
        <v>4288.467755885863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8821.514350797097</v>
      </c>
      <c r="E78" s="196">
        <f t="shared" si="13"/>
        <v>35508.230412391189</v>
      </c>
      <c r="F78" s="196">
        <f t="shared" si="13"/>
        <v>602420.55870491243</v>
      </c>
      <c r="G78" s="196">
        <f t="shared" si="13"/>
        <v>8496833.4022547696</v>
      </c>
      <c r="H78" s="196">
        <f t="shared" si="13"/>
        <v>98278640.311352998</v>
      </c>
      <c r="I78" s="196">
        <f t="shared" si="13"/>
        <v>43796746.469999999</v>
      </c>
      <c r="J78" s="196">
        <f t="shared" si="13"/>
        <v>757.98908488633981</v>
      </c>
      <c r="K78" s="196">
        <f t="shared" si="13"/>
        <v>3963.2407637355345</v>
      </c>
      <c r="L78" s="196">
        <f t="shared" si="13"/>
        <v>24905414.236567475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8662.1317016504199</v>
      </c>
      <c r="E79" s="196">
        <f t="shared" si="13"/>
        <v>34198.524515304678</v>
      </c>
      <c r="F79" s="196">
        <f t="shared" si="13"/>
        <v>604228.10792279465</v>
      </c>
      <c r="G79" s="196">
        <f t="shared" si="13"/>
        <v>8598827.6741832141</v>
      </c>
      <c r="H79" s="196">
        <f t="shared" si="13"/>
        <v>84597900.095935002</v>
      </c>
      <c r="I79" s="196">
        <f t="shared" si="13"/>
        <v>46753740.939999998</v>
      </c>
      <c r="J79" s="196">
        <f t="shared" si="13"/>
        <v>754.10825158583202</v>
      </c>
      <c r="K79" s="196">
        <f t="shared" si="13"/>
        <v>4018.6794702854027</v>
      </c>
      <c r="L79" s="196">
        <f t="shared" si="13"/>
        <v>25633242.453565713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8633.4779809615957</v>
      </c>
      <c r="E80" s="196">
        <f t="shared" si="13"/>
        <v>34025.967469642783</v>
      </c>
      <c r="F80" s="196">
        <f t="shared" si="13"/>
        <v>593891.75762258796</v>
      </c>
      <c r="G80" s="196">
        <f t="shared" si="13"/>
        <v>8378886.6359365918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4108.8472920388385</v>
      </c>
      <c r="L80" s="196">
        <f t="shared" si="13"/>
        <v>22395380.176944397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8546.0298911323534</v>
      </c>
      <c r="E81" s="204">
        <f t="shared" si="13"/>
        <v>33676.74700012165</v>
      </c>
      <c r="F81" s="204">
        <f t="shared" si="13"/>
        <v>581070.60463817068</v>
      </c>
      <c r="G81" s="204">
        <f t="shared" si="13"/>
        <v>8256395.8417050941</v>
      </c>
      <c r="H81" s="204">
        <f t="shared" si="13"/>
        <v>102168760.87174278</v>
      </c>
      <c r="I81" s="204">
        <f t="shared" si="13"/>
        <v>45724232.197163619</v>
      </c>
      <c r="J81" s="204">
        <f t="shared" si="13"/>
        <v>748.95758710979567</v>
      </c>
      <c r="K81" s="204">
        <f t="shared" si="13"/>
        <v>3862.1288920844795</v>
      </c>
      <c r="L81" s="204">
        <f t="shared" si="13"/>
        <v>22052786.836872764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8331.046420212906</v>
      </c>
      <c r="E82" s="204">
        <f t="shared" si="13"/>
        <v>32825.119142826537</v>
      </c>
      <c r="F82" s="204">
        <f t="shared" si="13"/>
        <v>562481.06227430038</v>
      </c>
      <c r="G82" s="204">
        <f t="shared" si="13"/>
        <v>8084954.4184549544</v>
      </c>
      <c r="H82" s="204">
        <f t="shared" si="13"/>
        <v>103536174.50390337</v>
      </c>
      <c r="I82" s="204">
        <f t="shared" si="13"/>
        <v>45894936.545319714</v>
      </c>
      <c r="J82" s="204">
        <f t="shared" si="13"/>
        <v>738.22897881506401</v>
      </c>
      <c r="K82" s="204">
        <f t="shared" si="13"/>
        <v>3622.1356884724091</v>
      </c>
      <c r="L82" s="204">
        <f t="shared" si="13"/>
        <v>21715434.318601616</v>
      </c>
    </row>
    <row r="83" spans="1:16" x14ac:dyDescent="0.2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</row>
    <row r="84" spans="1:16" ht="15" x14ac:dyDescent="0.2">
      <c r="A84" s="440" t="s">
        <v>90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</row>
    <row r="85" spans="1:16" ht="15" x14ac:dyDescent="0.2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</row>
    <row r="86" spans="1:16" ht="30" customHeight="1" x14ac:dyDescent="0.2">
      <c r="A86" s="438" t="s">
        <v>179</v>
      </c>
      <c r="B86" s="439"/>
      <c r="C86" s="218"/>
      <c r="D86" s="195">
        <f>D67/D78-1</f>
        <v>-2.278514938710352E-2</v>
      </c>
      <c r="E86" s="195">
        <f t="shared" ref="E86:L86" si="14">E67/E78-1</f>
        <v>3.3957971707406553E-2</v>
      </c>
      <c r="F86" s="195">
        <f t="shared" si="14"/>
        <v>0.13377042793694827</v>
      </c>
      <c r="G86" s="195">
        <f t="shared" si="14"/>
        <v>1.6686738580469873E-2</v>
      </c>
      <c r="H86" s="195">
        <f t="shared" si="14"/>
        <v>-0.18952327028888838</v>
      </c>
      <c r="I86" s="195"/>
      <c r="J86" s="195">
        <f t="shared" si="14"/>
        <v>-1.7541664297677007E-2</v>
      </c>
      <c r="K86" s="195">
        <f t="shared" si="14"/>
        <v>-7.6358558449398317E-2</v>
      </c>
      <c r="L86" s="195">
        <f t="shared" si="14"/>
        <v>6.9430114552908817E-2</v>
      </c>
    </row>
    <row r="87" spans="1:16" ht="15" x14ac:dyDescent="0.2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-6.2129628853453411E-2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-8.0342977045408936E-3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-3.1238699344739884E-2</v>
      </c>
      <c r="E96" s="195">
        <f t="shared" si="18"/>
        <v>-7.7489664801185243E-2</v>
      </c>
      <c r="F96" s="195">
        <f t="shared" si="18"/>
        <v>-7.0192112580356958E-2</v>
      </c>
      <c r="G96" s="195">
        <f t="shared" si="18"/>
        <v>-7.3913054193747718E-2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-5.2714863440228577E-3</v>
      </c>
      <c r="K96" s="195">
        <f t="shared" si="18"/>
        <v>-7.2152328143078592E-2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2.1085658548906538E-2</v>
      </c>
      <c r="E97" s="195">
        <f t="shared" si="18"/>
        <v>5.7693343737574843E-3</v>
      </c>
      <c r="F97" s="195">
        <f t="shared" si="18"/>
        <v>-3.4649335125800707E-2</v>
      </c>
      <c r="G97" s="195">
        <f t="shared" si="18"/>
        <v>0.16664742138055177</v>
      </c>
      <c r="H97" s="195">
        <f t="shared" si="18"/>
        <v>8.7880688390539419E-2</v>
      </c>
      <c r="I97" s="195">
        <f t="shared" si="18"/>
        <v>1.3654546436074888E-2</v>
      </c>
      <c r="J97" s="195">
        <f t="shared" si="18"/>
        <v>-2.7839156192323022E-3</v>
      </c>
      <c r="K97" s="195">
        <f t="shared" si="18"/>
        <v>-7.5837574318696643E-2</v>
      </c>
      <c r="L97" s="195">
        <f t="shared" si="18"/>
        <v>-8.2209298678126208E-2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-1.8067493041291183E-2</v>
      </c>
      <c r="E98" s="195">
        <f t="shared" si="18"/>
        <v>-3.6884572446321262E-2</v>
      </c>
      <c r="F98" s="195">
        <f t="shared" si="18"/>
        <v>3.0004773106815374E-3</v>
      </c>
      <c r="G98" s="195">
        <f t="shared" si="18"/>
        <v>1.2003798015079115E-2</v>
      </c>
      <c r="H98" s="195">
        <f t="shared" si="18"/>
        <v>-0.13920359675384741</v>
      </c>
      <c r="I98" s="195">
        <f t="shared" si="18"/>
        <v>6.7516304482240219E-2</v>
      </c>
      <c r="J98" s="195">
        <f t="shared" si="18"/>
        <v>-5.1199065763456453E-3</v>
      </c>
      <c r="K98" s="195">
        <f t="shared" si="18"/>
        <v>1.3988225761387918E-2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-3.3079294653721725E-3</v>
      </c>
      <c r="E99" s="195">
        <f t="shared" si="18"/>
        <v>-5.0457453386526518E-3</v>
      </c>
      <c r="F99" s="195">
        <f t="shared" si="18"/>
        <v>-1.7106702195203716E-2</v>
      </c>
      <c r="G99" s="195">
        <f t="shared" si="18"/>
        <v>-2.5578026049639879E-2</v>
      </c>
      <c r="H99" s="195">
        <f t="shared" si="18"/>
        <v>0.18909278471657553</v>
      </c>
      <c r="I99" s="195">
        <f t="shared" si="18"/>
        <v>-2.78284843916492E-2</v>
      </c>
      <c r="J99" s="195">
        <f t="shared" si="18"/>
        <v>5.3582731702841446E-3</v>
      </c>
      <c r="K99" s="195">
        <f t="shared" si="18"/>
        <v>2.2437176794055658E-2</v>
      </c>
      <c r="L99" s="195">
        <f t="shared" si="18"/>
        <v>-0.12631497097905819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-1.012895266798397E-2</v>
      </c>
      <c r="E100" s="203">
        <f t="shared" si="18"/>
        <v>-1.0263351654370978E-2</v>
      </c>
      <c r="F100" s="203">
        <f t="shared" si="18"/>
        <v>-2.1588366600239994E-2</v>
      </c>
      <c r="G100" s="203">
        <f t="shared" si="18"/>
        <v>-1.4618982157622362E-2</v>
      </c>
      <c r="H100" s="203">
        <f t="shared" si="18"/>
        <v>1.5647021586243204E-2</v>
      </c>
      <c r="I100" s="203">
        <f t="shared" si="18"/>
        <v>5.9749426304884778E-3</v>
      </c>
      <c r="J100" s="203">
        <f t="shared" si="18"/>
        <v>-1.2123451797177554E-2</v>
      </c>
      <c r="K100" s="203">
        <f t="shared" si="18"/>
        <v>-6.004564843098259E-2</v>
      </c>
      <c r="L100" s="203">
        <f t="shared" si="18"/>
        <v>-1.5297500527556407E-2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-2.5155946522316897E-2</v>
      </c>
      <c r="E101" s="203">
        <f t="shared" si="18"/>
        <v>-2.5288305230075747E-2</v>
      </c>
      <c r="F101" s="203">
        <f t="shared" si="18"/>
        <v>-3.1991882252322634E-2</v>
      </c>
      <c r="G101" s="203">
        <f t="shared" si="18"/>
        <v>-2.0764680683567405E-2</v>
      </c>
      <c r="H101" s="203">
        <f t="shared" si="18"/>
        <v>1.3383872139519859E-2</v>
      </c>
      <c r="I101" s="203">
        <f t="shared" si="18"/>
        <v>3.7333453172054831E-3</v>
      </c>
      <c r="J101" s="203">
        <f t="shared" si="18"/>
        <v>-1.4324720757730836E-2</v>
      </c>
      <c r="K101" s="203">
        <f t="shared" si="18"/>
        <v>-6.2140133154007904E-2</v>
      </c>
      <c r="L101" s="203">
        <f t="shared" si="18"/>
        <v>-1.5297500527556296E-2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413" t="s">
        <v>232</v>
      </c>
      <c r="E105" s="414"/>
      <c r="F105" s="414"/>
      <c r="G105" s="414"/>
      <c r="H105" s="415"/>
      <c r="J105" s="197"/>
    </row>
    <row r="106" spans="1:12" x14ac:dyDescent="0.2">
      <c r="D106" s="416" t="s">
        <v>230</v>
      </c>
      <c r="E106" s="416"/>
      <c r="F106" s="416"/>
      <c r="G106" s="416"/>
      <c r="H106" s="416"/>
      <c r="J106" s="197"/>
    </row>
    <row r="107" spans="1:12" x14ac:dyDescent="0.2">
      <c r="D107" s="417">
        <f>'CDM Activity'!P2</f>
        <v>73660000</v>
      </c>
      <c r="E107" s="417"/>
      <c r="F107" s="417"/>
      <c r="G107" s="417"/>
      <c r="H107" s="417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x14ac:dyDescent="0.2">
      <c r="D109" s="227">
        <f>'CDM Activity'!P7</f>
        <v>0</v>
      </c>
      <c r="E109" s="228">
        <f>'CDM Activity'!Q7</f>
        <v>0.10738528373608472</v>
      </c>
      <c r="F109" s="228">
        <f>E109</f>
        <v>0.10738528373608472</v>
      </c>
      <c r="G109" s="228">
        <f>F109</f>
        <v>0.10738528373608472</v>
      </c>
      <c r="H109" s="228">
        <f>SUM(D109:G109)</f>
        <v>0.32215585120825418</v>
      </c>
      <c r="J109" s="197"/>
    </row>
    <row r="110" spans="1:12" x14ac:dyDescent="0.2">
      <c r="D110" s="416" t="s">
        <v>229</v>
      </c>
      <c r="E110" s="416"/>
      <c r="F110" s="416"/>
      <c r="G110" s="416"/>
      <c r="H110" s="416"/>
      <c r="J110" s="197"/>
    </row>
    <row r="111" spans="1:12" x14ac:dyDescent="0.2">
      <c r="D111" s="229">
        <f>'CDM Activity'!P12</f>
        <v>13450000</v>
      </c>
      <c r="E111" s="293">
        <f>'CDM Activity'!Q12</f>
        <v>12900000</v>
      </c>
      <c r="F111" s="293">
        <f>'CDM Activity'!R12</f>
        <v>12900000</v>
      </c>
      <c r="G111" s="293">
        <f>'CDM Activity'!S12</f>
        <v>12820000</v>
      </c>
      <c r="H111" s="229">
        <f>SUM(D111:G111)</f>
        <v>52070000</v>
      </c>
    </row>
    <row r="112" spans="1:12" x14ac:dyDescent="0.2">
      <c r="D112" s="416" t="s">
        <v>231</v>
      </c>
      <c r="E112" s="416"/>
      <c r="F112" s="416"/>
      <c r="G112" s="416"/>
      <c r="H112" s="416"/>
    </row>
    <row r="113" spans="1:15" x14ac:dyDescent="0.2">
      <c r="D113" s="293">
        <f>'CDM Activity'!P13</f>
        <v>0</v>
      </c>
      <c r="E113" s="293">
        <f>'CDM Activity'!Q13</f>
        <v>7910000</v>
      </c>
      <c r="F113" s="293">
        <f>'CDM Activity'!R13</f>
        <v>7850000</v>
      </c>
      <c r="G113" s="293">
        <f>'CDM Activity'!S13</f>
        <v>7810000</v>
      </c>
      <c r="H113" s="293">
        <f>SUM(D113:G113)</f>
        <v>23570000</v>
      </c>
    </row>
    <row r="114" spans="1:15" x14ac:dyDescent="0.2">
      <c r="D114" s="417" t="s">
        <v>180</v>
      </c>
      <c r="E114" s="417"/>
      <c r="F114" s="417"/>
      <c r="G114" s="417"/>
      <c r="H114" s="418"/>
    </row>
    <row r="115" spans="1:15" x14ac:dyDescent="0.2">
      <c r="D115" s="297">
        <v>2006</v>
      </c>
      <c r="E115" s="297">
        <v>2007</v>
      </c>
      <c r="F115" s="297">
        <v>2008</v>
      </c>
      <c r="G115" s="298">
        <v>2009</v>
      </c>
      <c r="H115" s="299"/>
    </row>
    <row r="116" spans="1:15" x14ac:dyDescent="0.2">
      <c r="D116" s="229">
        <f>'CDM Activity'!C3</f>
        <v>1826895.8597920679</v>
      </c>
      <c r="E116" s="229">
        <f>'CDM Activity'!C4</f>
        <v>4932237.5799856689</v>
      </c>
      <c r="F116" s="229">
        <f>'CDM Activity'!C5</f>
        <v>7199424.3715859512</v>
      </c>
      <c r="G116" s="296">
        <f>'CDM Activity'!C6</f>
        <v>11355458.395677308</v>
      </c>
      <c r="H116" s="300"/>
      <c r="J116" s="215">
        <f>D116</f>
        <v>1826895.8597920679</v>
      </c>
      <c r="M116" s="215">
        <f>SUM(J116:L116)</f>
        <v>1826895.8597920679</v>
      </c>
      <c r="N116" s="215">
        <f>'CDM Activity'!F3</f>
        <v>1826895.8597920679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297">
        <v>2014</v>
      </c>
      <c r="J117" s="215">
        <f>E116</f>
        <v>4932237.5799856689</v>
      </c>
      <c r="M117" s="215">
        <f t="shared" ref="M117:M124" si="19">SUM(J117:L117)</f>
        <v>4932237.5799856689</v>
      </c>
      <c r="N117" s="215">
        <f>'CDM Activity'!F4</f>
        <v>4932237.5799856689</v>
      </c>
      <c r="O117" s="215">
        <f t="shared" ref="O117:O124" si="20">M117-N117</f>
        <v>0</v>
      </c>
    </row>
    <row r="118" spans="1:15" x14ac:dyDescent="0.2">
      <c r="D118" s="229">
        <f>'CDM Activity'!C7</f>
        <v>16129896.991863357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3">
        <f>'CDM Activity'!C11</f>
        <v>19030184.128223255</v>
      </c>
      <c r="J118" s="215">
        <f>F116</f>
        <v>7199424.3715859512</v>
      </c>
      <c r="M118" s="215">
        <f t="shared" si="19"/>
        <v>7199424.3715859512</v>
      </c>
      <c r="N118" s="215">
        <f>'CDM Activity'!F5</f>
        <v>7199424.3715859512</v>
      </c>
      <c r="O118" s="215">
        <f t="shared" si="20"/>
        <v>0</v>
      </c>
    </row>
    <row r="119" spans="1:15" x14ac:dyDescent="0.2">
      <c r="J119" s="215">
        <f>G116</f>
        <v>11355458.395677308</v>
      </c>
      <c r="M119" s="215">
        <f t="shared" si="19"/>
        <v>11355458.395677308</v>
      </c>
      <c r="N119" s="215">
        <f>'CDM Activity'!F6</f>
        <v>11355458.395677308</v>
      </c>
      <c r="O119" s="215">
        <f t="shared" si="20"/>
        <v>0</v>
      </c>
    </row>
    <row r="120" spans="1:15" ht="15" x14ac:dyDescent="0.2">
      <c r="A120" s="392" t="s">
        <v>233</v>
      </c>
      <c r="B120" s="393"/>
      <c r="C120" s="393"/>
      <c r="D120" s="394"/>
      <c r="J120" s="215">
        <f>D118</f>
        <v>16129896.991863357</v>
      </c>
      <c r="M120" s="215">
        <f t="shared" si="19"/>
        <v>16129896.991863357</v>
      </c>
      <c r="N120" s="215">
        <f>'CDM Activity'!F7</f>
        <v>16129896.991863357</v>
      </c>
      <c r="O120" s="215">
        <f t="shared" si="20"/>
        <v>0</v>
      </c>
    </row>
    <row r="121" spans="1:15" ht="15" x14ac:dyDescent="0.2">
      <c r="A121" s="411" t="s">
        <v>181</v>
      </c>
      <c r="B121" s="411"/>
      <c r="C121" s="325"/>
      <c r="D121" s="267" t="s">
        <v>101</v>
      </c>
      <c r="J121" s="215">
        <f>E118</f>
        <v>19795632.977069873</v>
      </c>
      <c r="K121" s="215">
        <f>D111</f>
        <v>13450000</v>
      </c>
      <c r="M121" s="215">
        <f t="shared" si="19"/>
        <v>33245632.977069873</v>
      </c>
      <c r="N121" s="215">
        <f>'CDM Activity'!F8</f>
        <v>26520632.977069873</v>
      </c>
      <c r="O121" s="215">
        <f t="shared" si="20"/>
        <v>6725000</v>
      </c>
    </row>
    <row r="122" spans="1:15" x14ac:dyDescent="0.2">
      <c r="A122" s="412" t="s">
        <v>31</v>
      </c>
      <c r="B122" s="412"/>
      <c r="C122" s="294"/>
      <c r="D122" s="308">
        <f>'Purchased Power Model'!U6</f>
        <v>0.9274480558193523</v>
      </c>
      <c r="J122" s="215">
        <f>F118</f>
        <v>19505272.310954027</v>
      </c>
      <c r="K122" s="215">
        <f>E111</f>
        <v>12900000</v>
      </c>
      <c r="L122" s="215">
        <f>E113</f>
        <v>7910000</v>
      </c>
      <c r="M122" s="215">
        <f t="shared" si="19"/>
        <v>40315272.310954027</v>
      </c>
      <c r="N122" s="215">
        <f>'CDM Activity'!F9</f>
        <v>36360272.310954027</v>
      </c>
      <c r="O122" s="215">
        <f t="shared" si="20"/>
        <v>3955000</v>
      </c>
    </row>
    <row r="123" spans="1:15" x14ac:dyDescent="0.2">
      <c r="A123" s="294" t="s">
        <v>32</v>
      </c>
      <c r="B123" s="294"/>
      <c r="C123" s="294"/>
      <c r="D123" s="308">
        <f>'Purchased Power Model'!U7</f>
        <v>0.92447156580168466</v>
      </c>
      <c r="J123" s="215">
        <f>G118</f>
        <v>19444649.840082143</v>
      </c>
      <c r="K123" s="215">
        <f>F111</f>
        <v>12900000</v>
      </c>
      <c r="L123" s="215">
        <f>F113</f>
        <v>7850000</v>
      </c>
      <c r="M123" s="215">
        <f t="shared" si="19"/>
        <v>40194649.840082139</v>
      </c>
      <c r="N123" s="215">
        <f>'CDM Activity'!F10</f>
        <v>36269649.840082139</v>
      </c>
      <c r="O123" s="215">
        <f t="shared" si="20"/>
        <v>3925000</v>
      </c>
    </row>
    <row r="124" spans="1:15" x14ac:dyDescent="0.2">
      <c r="A124" s="412" t="s">
        <v>182</v>
      </c>
      <c r="B124" s="412"/>
      <c r="C124" s="294"/>
      <c r="D124" s="230">
        <f>'Purchased Power Model'!X13</f>
        <v>311.59118636860359</v>
      </c>
      <c r="J124" s="215">
        <f>H118</f>
        <v>19030184.128223255</v>
      </c>
      <c r="K124" s="215">
        <f>G111</f>
        <v>12820000</v>
      </c>
      <c r="L124" s="215">
        <f>G113</f>
        <v>7810000</v>
      </c>
      <c r="M124" s="215">
        <f t="shared" si="19"/>
        <v>39660184.128223255</v>
      </c>
      <c r="N124" s="215">
        <f>'CDM Activity'!F11</f>
        <v>35755184.128223255</v>
      </c>
      <c r="O124" s="215">
        <f t="shared" si="20"/>
        <v>3905000</v>
      </c>
    </row>
    <row r="125" spans="1:15" x14ac:dyDescent="0.2">
      <c r="A125" s="412" t="s">
        <v>235</v>
      </c>
      <c r="B125" s="412"/>
      <c r="C125" s="294"/>
      <c r="D125" s="308">
        <f>'Purchased Power Model'!Q251</f>
        <v>1.4089702681538507E-2</v>
      </c>
      <c r="J125" s="215"/>
      <c r="K125" s="215"/>
      <c r="L125" s="215"/>
      <c r="M125" s="215">
        <f>SUM(M116:M124)</f>
        <v>194859652.45523363</v>
      </c>
      <c r="N125" s="215"/>
      <c r="O125" s="215"/>
    </row>
    <row r="126" spans="1:15" x14ac:dyDescent="0.2">
      <c r="A126" s="412" t="s">
        <v>234</v>
      </c>
      <c r="B126" s="412"/>
      <c r="C126" s="294"/>
      <c r="D126" s="308">
        <f>'Purchased Power Model'!Q207</f>
        <v>2.2900993973613351E-2</v>
      </c>
      <c r="J126" s="215"/>
      <c r="K126" s="215"/>
      <c r="L126" s="215"/>
      <c r="N126" s="215"/>
      <c r="O126" s="215"/>
    </row>
    <row r="127" spans="1:15" x14ac:dyDescent="0.2">
      <c r="A127" s="294" t="s">
        <v>183</v>
      </c>
      <c r="B127" s="294"/>
      <c r="C127" s="294"/>
      <c r="D127" s="230"/>
      <c r="J127" s="190"/>
    </row>
    <row r="128" spans="1:15" x14ac:dyDescent="0.2">
      <c r="A128" s="420" t="str">
        <f>'Purchased Power Model'!T19</f>
        <v>Heating Degree Days</v>
      </c>
      <c r="B128" s="421"/>
      <c r="C128" s="294"/>
      <c r="D128" s="231">
        <f>'Purchased Power Model'!W19</f>
        <v>13.516602306904163</v>
      </c>
      <c r="J128" s="190"/>
    </row>
    <row r="129" spans="1:10" ht="14.25" customHeight="1" x14ac:dyDescent="0.2">
      <c r="A129" s="420" t="str">
        <f>'Purchased Power Model'!T20</f>
        <v>Cooling Degree Days</v>
      </c>
      <c r="B129" s="421"/>
      <c r="C129" s="294"/>
      <c r="D129" s="231">
        <f>'Purchased Power Model'!W20</f>
        <v>12.334614744813303</v>
      </c>
      <c r="J129" s="190"/>
    </row>
    <row r="130" spans="1:10" ht="14.25" customHeight="1" x14ac:dyDescent="0.2">
      <c r="A130" s="420" t="str">
        <f>'Purchased Power Model'!T21</f>
        <v>Number of Days in Month</v>
      </c>
      <c r="B130" s="421"/>
      <c r="C130" s="294"/>
      <c r="D130" s="231">
        <f>'Purchased Power Model'!W21</f>
        <v>4.4370235848252362</v>
      </c>
      <c r="J130" s="190"/>
    </row>
    <row r="131" spans="1:10" ht="14.25" customHeight="1" x14ac:dyDescent="0.2">
      <c r="A131" s="420" t="str">
        <f>'Purchased Power Model'!T22</f>
        <v>Spring Fall Flag</v>
      </c>
      <c r="B131" s="421"/>
      <c r="C131" s="294"/>
      <c r="D131" s="231">
        <f>'Purchased Power Model'!W22</f>
        <v>-2.0795259230032213</v>
      </c>
      <c r="J131" s="190"/>
    </row>
    <row r="132" spans="1:10" ht="14.25" customHeight="1" x14ac:dyDescent="0.2">
      <c r="A132" s="420" t="str">
        <f>'Purchased Power Model'!T23</f>
        <v>Number of Peak Hours</v>
      </c>
      <c r="B132" s="421"/>
      <c r="C132" s="294"/>
      <c r="D132" s="231">
        <f>'Purchased Power Model'!W23</f>
        <v>6.1252178559621582</v>
      </c>
    </row>
    <row r="133" spans="1:10" ht="27" customHeight="1" x14ac:dyDescent="0.2">
      <c r="A133" s="420" t="str">
        <f>'Purchased Power Model'!T24</f>
        <v>Employment Kitchener-Waterloo-Barrie (000's)</v>
      </c>
      <c r="B133" s="421"/>
      <c r="C133" s="294"/>
      <c r="D133" s="231">
        <f>'Purchased Power Model'!W24</f>
        <v>41.96881224333498</v>
      </c>
    </row>
    <row r="134" spans="1:10" ht="14.25" customHeight="1" x14ac:dyDescent="0.2">
      <c r="A134" s="420" t="str">
        <f>'Purchased Power Model'!T25</f>
        <v>CDM Activity</v>
      </c>
      <c r="B134" s="421"/>
      <c r="C134" s="294"/>
      <c r="D134" s="231">
        <f>'Purchased Power Model'!W25</f>
        <v>-9.240135214842967</v>
      </c>
    </row>
    <row r="135" spans="1:10" ht="30" customHeight="1" x14ac:dyDescent="0.2">
      <c r="A135" s="420" t="str">
        <f>'Purchased Power Model'!T26</f>
        <v>Unemployment Kitchener-Waterloo-Barrie (000's)</v>
      </c>
      <c r="B135" s="421"/>
      <c r="C135" s="294"/>
      <c r="D135" s="231">
        <f>'Purchased Power Model'!W26</f>
        <v>-8.8252048779013386</v>
      </c>
    </row>
    <row r="136" spans="1:10" ht="14.25" customHeight="1" x14ac:dyDescent="0.2">
      <c r="A136" s="419" t="str">
        <f>'Purchased Power Model'!T18</f>
        <v>Intercept</v>
      </c>
      <c r="B136" s="419"/>
      <c r="C136" s="294"/>
      <c r="D136" s="231">
        <f>'Purchased Power Model'!W18</f>
        <v>-7.4436301953172537</v>
      </c>
    </row>
    <row r="138" spans="1:10" x14ac:dyDescent="0.2">
      <c r="A138" s="304"/>
      <c r="B138" s="259"/>
      <c r="C138" s="259"/>
      <c r="D138" s="305"/>
    </row>
    <row r="139" spans="1:10" x14ac:dyDescent="0.2">
      <c r="A139" s="304"/>
      <c r="B139" s="259"/>
      <c r="C139" s="259"/>
      <c r="D139" s="305"/>
    </row>
    <row r="140" spans="1:10" x14ac:dyDescent="0.2">
      <c r="J140" s="208"/>
    </row>
    <row r="141" spans="1:10" ht="15" x14ac:dyDescent="0.2">
      <c r="A141" s="392" t="s">
        <v>236</v>
      </c>
      <c r="B141" s="393"/>
      <c r="C141" s="393"/>
      <c r="D141" s="393"/>
      <c r="E141" s="393"/>
      <c r="F141" s="394"/>
      <c r="J141" s="197"/>
    </row>
    <row r="142" spans="1:10" ht="30" x14ac:dyDescent="0.2">
      <c r="A142" s="389" t="s">
        <v>89</v>
      </c>
      <c r="B142" s="390"/>
      <c r="C142" s="269"/>
      <c r="D142" s="267" t="s">
        <v>184</v>
      </c>
      <c r="E142" s="267" t="s">
        <v>185</v>
      </c>
      <c r="F142" s="267" t="s">
        <v>11</v>
      </c>
      <c r="J142" s="197"/>
    </row>
    <row r="143" spans="1:10" ht="15" x14ac:dyDescent="0.2">
      <c r="A143" s="384" t="s">
        <v>186</v>
      </c>
      <c r="B143" s="385"/>
      <c r="C143" s="385"/>
      <c r="D143" s="385"/>
      <c r="E143" s="385"/>
      <c r="F143" s="386"/>
      <c r="J143" s="197"/>
    </row>
    <row r="144" spans="1:10" ht="15" x14ac:dyDescent="0.2">
      <c r="A144" s="422">
        <v>1996</v>
      </c>
      <c r="B144" s="423"/>
      <c r="C144" s="289"/>
      <c r="D144" s="193">
        <f>'Purchased Power Model'!B234/1000000</f>
        <v>1126.778593</v>
      </c>
      <c r="E144" s="193">
        <f>'Purchased Power Model'!N234/1000000</f>
        <v>1160.636229055681</v>
      </c>
      <c r="F144" s="232">
        <f t="shared" ref="F144:F159" si="21">E144/D144-1</f>
        <v>3.0048171189990924E-2</v>
      </c>
      <c r="H144" s="232">
        <f>'Purchased Power Model'!P234</f>
        <v>3.004817118999082E-2</v>
      </c>
      <c r="J144" s="197"/>
    </row>
    <row r="145" spans="1:10" ht="15" x14ac:dyDescent="0.2">
      <c r="A145" s="422">
        <v>1997</v>
      </c>
      <c r="B145" s="423"/>
      <c r="C145" s="289"/>
      <c r="D145" s="193">
        <f>'Purchased Power Model'!B235/1000000</f>
        <v>1202.822244</v>
      </c>
      <c r="E145" s="193">
        <f>'Purchased Power Model'!N235/1000000</f>
        <v>1199.6381919534881</v>
      </c>
      <c r="F145" s="232">
        <f t="shared" si="21"/>
        <v>-2.6471509505205937E-3</v>
      </c>
      <c r="H145" s="232">
        <f>'Purchased Power Model'!P235</f>
        <v>-2.6471509505205729E-3</v>
      </c>
      <c r="J145" s="197"/>
    </row>
    <row r="146" spans="1:10" ht="15" x14ac:dyDescent="0.2">
      <c r="A146" s="422">
        <v>1998</v>
      </c>
      <c r="B146" s="423"/>
      <c r="C146" s="289"/>
      <c r="D146" s="193">
        <f>'Purchased Power Model'!B236/1000000</f>
        <v>1272.5511570000001</v>
      </c>
      <c r="E146" s="193">
        <f>'Purchased Power Model'!N236/1000000</f>
        <v>1275.6438952985011</v>
      </c>
      <c r="F146" s="232">
        <f t="shared" si="21"/>
        <v>2.4303449660854071E-3</v>
      </c>
      <c r="H146" s="232">
        <f>'Purchased Power Model'!P236</f>
        <v>2.4303449660853316E-3</v>
      </c>
      <c r="J146" s="197"/>
    </row>
    <row r="147" spans="1:10" ht="15" x14ac:dyDescent="0.2">
      <c r="A147" s="422">
        <v>1999</v>
      </c>
      <c r="B147" s="423"/>
      <c r="C147" s="289"/>
      <c r="D147" s="193">
        <f>'Purchased Power Model'!B237/1000000</f>
        <v>1350.8153901000001</v>
      </c>
      <c r="E147" s="193">
        <f>'Purchased Power Model'!N237/1000000</f>
        <v>1379.2139670884619</v>
      </c>
      <c r="F147" s="232">
        <f t="shared" si="21"/>
        <v>2.1023285044420081E-2</v>
      </c>
      <c r="H147" s="232">
        <f>'Purchased Power Model'!P237</f>
        <v>2.1023285044420022E-2</v>
      </c>
      <c r="J147" s="197"/>
    </row>
    <row r="148" spans="1:10" ht="15" x14ac:dyDescent="0.2">
      <c r="A148" s="422">
        <v>2000</v>
      </c>
      <c r="B148" s="423"/>
      <c r="C148" s="289"/>
      <c r="D148" s="193">
        <f>'Purchased Power Model'!B238/1000000</f>
        <v>1392.1735917999999</v>
      </c>
      <c r="E148" s="193">
        <f>'Purchased Power Model'!N238/1000000</f>
        <v>1382.0395336418392</v>
      </c>
      <c r="F148" s="232">
        <f t="shared" si="21"/>
        <v>-7.2793064154147435E-3</v>
      </c>
      <c r="H148" s="232">
        <f>'Purchased Power Model'!P238</f>
        <v>-7.2793064154147149E-3</v>
      </c>
      <c r="J148" s="197"/>
    </row>
    <row r="149" spans="1:10" ht="15" x14ac:dyDescent="0.2">
      <c r="A149" s="422">
        <v>2001</v>
      </c>
      <c r="B149" s="423"/>
      <c r="C149" s="289"/>
      <c r="D149" s="193">
        <f>'Purchased Power Model'!B239/1000000</f>
        <v>1420.9777300000001</v>
      </c>
      <c r="E149" s="193">
        <f>'Purchased Power Model'!N239/1000000</f>
        <v>1416.5904032563885</v>
      </c>
      <c r="F149" s="232">
        <f t="shared" si="21"/>
        <v>-3.0875408185401243E-3</v>
      </c>
      <c r="H149" s="232">
        <f>'Purchased Power Model'!P239</f>
        <v>-3.087540818540185E-3</v>
      </c>
      <c r="J149" s="197"/>
    </row>
    <row r="150" spans="1:10" ht="15" x14ac:dyDescent="0.2">
      <c r="A150" s="422">
        <v>2002</v>
      </c>
      <c r="B150" s="423"/>
      <c r="C150" s="289"/>
      <c r="D150" s="193">
        <f>'Purchased Power Model'!B240/1000000</f>
        <v>1519.1447559999999</v>
      </c>
      <c r="E150" s="193">
        <f>'Purchased Power Model'!N240/1000000</f>
        <v>1470.5755136215623</v>
      </c>
      <c r="F150" s="232">
        <f t="shared" si="21"/>
        <v>-3.1971437999314345E-2</v>
      </c>
      <c r="H150" s="232">
        <f>'Purchased Power Model'!P240</f>
        <v>-3.1971437999314505E-2</v>
      </c>
      <c r="J150" s="197"/>
    </row>
    <row r="151" spans="1:10" x14ac:dyDescent="0.2">
      <c r="A151" s="422">
        <v>2003</v>
      </c>
      <c r="B151" s="423"/>
      <c r="C151" s="192"/>
      <c r="D151" s="193">
        <f>'Purchased Power Model'!B241/1000000</f>
        <v>1523.7175299999999</v>
      </c>
      <c r="E151" s="193">
        <f>'Purchased Power Model'!N241/1000000</f>
        <v>1500.8532652510455</v>
      </c>
      <c r="F151" s="232">
        <f t="shared" si="21"/>
        <v>-1.5005579642412004E-2</v>
      </c>
      <c r="G151" s="190"/>
      <c r="H151" s="232">
        <f>'Purchased Power Model'!P241</f>
        <v>-1.5005579642412156E-2</v>
      </c>
      <c r="J151" s="197"/>
    </row>
    <row r="152" spans="1:10" x14ac:dyDescent="0.2">
      <c r="A152" s="422">
        <v>2004</v>
      </c>
      <c r="B152" s="423"/>
      <c r="C152" s="192"/>
      <c r="D152" s="193">
        <f>'Purchased Power Model'!B242/1000000</f>
        <v>1570.4059299999999</v>
      </c>
      <c r="E152" s="193">
        <f>'Purchased Power Model'!N242/1000000</f>
        <v>1539.3780982646749</v>
      </c>
      <c r="F152" s="232">
        <f t="shared" si="21"/>
        <v>-1.9757841678122667E-2</v>
      </c>
      <c r="G152" s="190"/>
      <c r="H152" s="232">
        <f>'Purchased Power Model'!P242</f>
        <v>-1.9757841678122737E-2</v>
      </c>
      <c r="J152" s="197"/>
    </row>
    <row r="153" spans="1:10" x14ac:dyDescent="0.2">
      <c r="A153" s="422">
        <v>2005</v>
      </c>
      <c r="B153" s="423"/>
      <c r="C153" s="192"/>
      <c r="D153" s="193">
        <f>'Purchased Power Model'!B243/1000000</f>
        <v>1640.988662</v>
      </c>
      <c r="E153" s="193">
        <f>'Purchased Power Model'!N243/1000000</f>
        <v>1627.2379810482955</v>
      </c>
      <c r="F153" s="232">
        <f t="shared" si="21"/>
        <v>-8.3795100296094605E-3</v>
      </c>
      <c r="G153" s="190"/>
      <c r="H153" s="232">
        <f>'Purchased Power Model'!P243</f>
        <v>-8.3795100296095177E-3</v>
      </c>
      <c r="J153" s="197"/>
    </row>
    <row r="154" spans="1:10" x14ac:dyDescent="0.2">
      <c r="A154" s="422">
        <v>2006</v>
      </c>
      <c r="B154" s="423"/>
      <c r="C154" s="192"/>
      <c r="D154" s="193">
        <f>'Purchased Power Model'!B244/1000000</f>
        <v>1599.360044</v>
      </c>
      <c r="E154" s="193">
        <f>'Purchased Power Model'!N244/1000000</f>
        <v>1634.0262223421594</v>
      </c>
      <c r="F154" s="232">
        <f t="shared" si="21"/>
        <v>2.1675030880138335E-2</v>
      </c>
      <c r="G154" s="190"/>
      <c r="H154" s="232">
        <f>'Purchased Power Model'!P244</f>
        <v>2.1675030880138252E-2</v>
      </c>
      <c r="J154" s="197"/>
    </row>
    <row r="155" spans="1:10" x14ac:dyDescent="0.2">
      <c r="A155" s="422">
        <v>2007</v>
      </c>
      <c r="B155" s="423"/>
      <c r="C155" s="192"/>
      <c r="D155" s="193">
        <f>'Purchased Power Model'!B245/1000000</f>
        <v>1609.193923</v>
      </c>
      <c r="E155" s="193">
        <f>'Purchased Power Model'!N245/1000000</f>
        <v>1622.7973186380689</v>
      </c>
      <c r="F155" s="232">
        <f t="shared" si="21"/>
        <v>8.4535464891069001E-3</v>
      </c>
      <c r="G155" s="190"/>
      <c r="H155" s="232">
        <f>'Purchased Power Model'!P245</f>
        <v>8.453546489106966E-3</v>
      </c>
      <c r="J155" s="197"/>
    </row>
    <row r="156" spans="1:10" x14ac:dyDescent="0.2">
      <c r="A156" s="422">
        <v>2008</v>
      </c>
      <c r="B156" s="423"/>
      <c r="C156" s="192"/>
      <c r="D156" s="193">
        <f>'Purchased Power Model'!B246/1000000</f>
        <v>1557.5232289999999</v>
      </c>
      <c r="E156" s="193">
        <f>'Purchased Power Model'!N246/1000000</f>
        <v>1601.223664943572</v>
      </c>
      <c r="F156" s="232">
        <f t="shared" si="21"/>
        <v>2.8057646351528076E-2</v>
      </c>
      <c r="G156" s="190"/>
      <c r="H156" s="232">
        <f>'Purchased Power Model'!P246</f>
        <v>2.8057646351528055E-2</v>
      </c>
      <c r="J156" s="197"/>
    </row>
    <row r="157" spans="1:10" x14ac:dyDescent="0.2">
      <c r="A157" s="422">
        <v>2009</v>
      </c>
      <c r="B157" s="423"/>
      <c r="C157" s="192"/>
      <c r="D157" s="193">
        <f>'Purchased Power Model'!B247/1000000</f>
        <v>1450.354846</v>
      </c>
      <c r="E157" s="193">
        <f>'Purchased Power Model'!N247/1000000</f>
        <v>1444.4593689156191</v>
      </c>
      <c r="F157" s="232">
        <f t="shared" si="21"/>
        <v>-4.0648515090222492E-3</v>
      </c>
      <c r="G157" s="190"/>
      <c r="H157" s="232">
        <f>'Purchased Power Model'!P247</f>
        <v>-4.0648515090222718E-3</v>
      </c>
      <c r="J157" s="197"/>
    </row>
    <row r="158" spans="1:10" x14ac:dyDescent="0.2">
      <c r="A158" s="422">
        <v>2010</v>
      </c>
      <c r="B158" s="423"/>
      <c r="C158" s="192"/>
      <c r="D158" s="193">
        <f>'Purchased Power Model'!B248/1000000</f>
        <v>1513.16563</v>
      </c>
      <c r="E158" s="193">
        <f>'Purchased Power Model'!N248/1000000</f>
        <v>1492.4113399877301</v>
      </c>
      <c r="F158" s="232">
        <f t="shared" si="21"/>
        <v>-1.3715808501591376E-2</v>
      </c>
      <c r="G158" s="190"/>
      <c r="H158" s="232">
        <f>'Purchased Power Model'!P248</f>
        <v>-1.3715808501591445E-2</v>
      </c>
      <c r="J158" s="197"/>
    </row>
    <row r="159" spans="1:10" ht="12.75" customHeight="1" x14ac:dyDescent="0.2">
      <c r="A159" s="422">
        <v>2011</v>
      </c>
      <c r="B159" s="423"/>
      <c r="C159" s="233"/>
      <c r="D159" s="193">
        <f>'Purchased Power Model'!B249/1000000</f>
        <v>1519.43926771</v>
      </c>
      <c r="E159" s="193">
        <f>'Purchased Power Model'!N249/1000000</f>
        <v>1537.7577518746832</v>
      </c>
      <c r="F159" s="232">
        <f t="shared" si="21"/>
        <v>1.2056081841488542E-2</v>
      </c>
      <c r="G159" s="190"/>
      <c r="H159" s="232">
        <f>'Purchased Power Model'!P249</f>
        <v>1.2056081841488491E-2</v>
      </c>
    </row>
    <row r="160" spans="1:10" ht="12.75" customHeight="1" x14ac:dyDescent="0.2">
      <c r="A160" s="422">
        <v>2012</v>
      </c>
      <c r="B160" s="423"/>
      <c r="C160" s="291"/>
      <c r="D160" s="193">
        <f>'Purchased Power Model'!B250/1000000</f>
        <v>1526.5913362900003</v>
      </c>
      <c r="E160" s="193">
        <f>'Purchased Power Model'!N250/1000000</f>
        <v>1511.5211147182199</v>
      </c>
      <c r="F160" s="232">
        <f t="shared" ref="F160" si="22">E160/D160-1</f>
        <v>-9.87181127884873E-3</v>
      </c>
      <c r="G160" s="190"/>
      <c r="H160" s="232">
        <f>'Purchased Power Model'!P250</f>
        <v>-9.8718112788486155E-3</v>
      </c>
    </row>
    <row r="161" spans="1:15" s="206" customFormat="1" ht="12.75" customHeight="1" x14ac:dyDescent="0.25">
      <c r="A161" s="384" t="s">
        <v>104</v>
      </c>
      <c r="B161" s="385"/>
      <c r="C161" s="216"/>
      <c r="D161" s="234"/>
      <c r="E161" s="201">
        <f>'Purchased Power Model'!N251/1000000</f>
        <v>1552.3492984519139</v>
      </c>
      <c r="F161" s="235"/>
    </row>
    <row r="162" spans="1:15" s="206" customFormat="1" ht="15" x14ac:dyDescent="0.25">
      <c r="A162" s="384" t="s">
        <v>105</v>
      </c>
      <c r="B162" s="385"/>
      <c r="C162" s="188"/>
      <c r="D162" s="234"/>
      <c r="E162" s="201">
        <f>'Purchased Power Model'!N252/1000000</f>
        <v>1552.4409579431406</v>
      </c>
      <c r="F162" s="235"/>
      <c r="J162" s="236"/>
    </row>
    <row r="163" spans="1:15" s="197" customFormat="1" ht="15" x14ac:dyDescent="0.2">
      <c r="A163" s="200" t="s">
        <v>237</v>
      </c>
      <c r="B163" s="188"/>
      <c r="C163" s="188"/>
      <c r="D163" s="234"/>
      <c r="E163" s="201">
        <f>'Purchased Power Model'!O272/1000000</f>
        <v>1551.1459318523878</v>
      </c>
      <c r="F163" s="235"/>
    </row>
    <row r="164" spans="1:15" s="197" customFormat="1" ht="15" x14ac:dyDescent="0.2">
      <c r="A164" s="200" t="s">
        <v>238</v>
      </c>
      <c r="B164" s="192"/>
      <c r="C164" s="192"/>
      <c r="D164" s="230"/>
      <c r="E164" s="201">
        <f>'Purchased Power Model'!O286/1000000</f>
        <v>1549.4998894098214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410" t="s">
        <v>259</v>
      </c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</row>
    <row r="169" spans="1:15" ht="63" customHeight="1" x14ac:dyDescent="0.2">
      <c r="A169" s="424" t="s">
        <v>89</v>
      </c>
      <c r="B169" s="424"/>
      <c r="C169" s="325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95" t="s">
        <v>177</v>
      </c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</row>
    <row r="171" spans="1:15" ht="15" x14ac:dyDescent="0.2">
      <c r="A171" s="412">
        <f t="shared" ref="A171:A182" si="24">A149</f>
        <v>2001</v>
      </c>
      <c r="B171" s="412"/>
      <c r="C171" s="292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412">
        <f t="shared" si="24"/>
        <v>2002</v>
      </c>
      <c r="B172" s="412"/>
      <c r="C172" s="292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412">
        <f t="shared" si="24"/>
        <v>2003</v>
      </c>
      <c r="B173" s="412"/>
      <c r="C173" s="294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412">
        <f t="shared" si="24"/>
        <v>2004</v>
      </c>
      <c r="B174" s="412"/>
      <c r="C174" s="294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412">
        <f t="shared" si="24"/>
        <v>2005</v>
      </c>
      <c r="B175" s="412"/>
      <c r="C175" s="294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412">
        <f t="shared" si="24"/>
        <v>2006</v>
      </c>
      <c r="B176" s="412"/>
      <c r="C176" s="294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412">
        <f t="shared" si="24"/>
        <v>2007</v>
      </c>
      <c r="B177" s="412"/>
      <c r="C177" s="294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412">
        <f t="shared" si="24"/>
        <v>2008</v>
      </c>
      <c r="B178" s="412"/>
      <c r="C178" s="294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412">
        <f t="shared" si="24"/>
        <v>2009</v>
      </c>
      <c r="B179" s="412"/>
      <c r="C179" s="294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412">
        <f t="shared" si="24"/>
        <v>2010</v>
      </c>
      <c r="B180" s="412"/>
      <c r="C180" s="294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412">
        <f t="shared" si="24"/>
        <v>2011</v>
      </c>
      <c r="B181" s="412"/>
      <c r="C181" s="294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412">
        <f t="shared" si="24"/>
        <v>2012</v>
      </c>
      <c r="B182" s="412"/>
      <c r="C182" s="294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410" t="s">
        <v>260</v>
      </c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</row>
    <row r="185" spans="1:23" ht="61.5" customHeight="1" x14ac:dyDescent="0.2">
      <c r="A185" s="424" t="s">
        <v>89</v>
      </c>
      <c r="B185" s="424"/>
      <c r="C185" s="325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95" t="s">
        <v>187</v>
      </c>
      <c r="B186" s="395"/>
      <c r="C186" s="395"/>
      <c r="D186" s="395"/>
      <c r="E186" s="395"/>
      <c r="F186" s="395"/>
      <c r="G186" s="395"/>
      <c r="H186" s="395"/>
      <c r="I186" s="395"/>
      <c r="J186" s="395"/>
      <c r="K186" s="395"/>
      <c r="L186" s="395"/>
    </row>
    <row r="187" spans="1:23" ht="15" x14ac:dyDescent="0.2">
      <c r="A187" s="412">
        <f t="shared" ref="A187:A198" si="27">A171</f>
        <v>2001</v>
      </c>
      <c r="B187" s="412"/>
      <c r="C187" s="292"/>
      <c r="D187" s="240"/>
      <c r="E187" s="292"/>
      <c r="F187" s="292"/>
      <c r="G187" s="292"/>
      <c r="H187" s="292"/>
      <c r="I187" s="292"/>
      <c r="J187" s="210"/>
      <c r="K187" s="210"/>
      <c r="L187" s="210"/>
    </row>
    <row r="188" spans="1:23" ht="15" x14ac:dyDescent="0.2">
      <c r="A188" s="412">
        <f t="shared" si="27"/>
        <v>2002</v>
      </c>
      <c r="B188" s="412"/>
      <c r="C188" s="292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412">
        <f t="shared" si="27"/>
        <v>2003</v>
      </c>
      <c r="B189" s="412"/>
      <c r="C189" s="294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412">
        <f t="shared" si="27"/>
        <v>2004</v>
      </c>
      <c r="B190" s="412"/>
      <c r="C190" s="294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412">
        <f t="shared" si="27"/>
        <v>2005</v>
      </c>
      <c r="B191" s="412"/>
      <c r="C191" s="294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412">
        <f t="shared" si="27"/>
        <v>2006</v>
      </c>
      <c r="B192" s="412"/>
      <c r="C192" s="294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412">
        <f t="shared" si="27"/>
        <v>2007</v>
      </c>
      <c r="B193" s="412"/>
      <c r="C193" s="294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412">
        <f t="shared" si="27"/>
        <v>2008</v>
      </c>
      <c r="B194" s="412"/>
      <c r="C194" s="294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412">
        <f t="shared" si="27"/>
        <v>2009</v>
      </c>
      <c r="B195" s="412"/>
      <c r="C195" s="294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412">
        <f t="shared" si="27"/>
        <v>2010</v>
      </c>
      <c r="B196" s="412"/>
      <c r="C196" s="294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412">
        <f t="shared" si="27"/>
        <v>2011</v>
      </c>
      <c r="B197" s="412"/>
      <c r="C197" s="294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412">
        <f t="shared" si="27"/>
        <v>2012</v>
      </c>
      <c r="B198" s="412"/>
      <c r="C198" s="294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95" t="s">
        <v>99</v>
      </c>
      <c r="B199" s="395"/>
      <c r="C199" s="292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410" t="s">
        <v>261</v>
      </c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</row>
    <row r="202" spans="1:23" ht="60.75" customHeight="1" x14ac:dyDescent="0.2">
      <c r="A202" s="411" t="s">
        <v>89</v>
      </c>
      <c r="B202" s="411"/>
      <c r="C202" s="326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95" t="s">
        <v>188</v>
      </c>
      <c r="B203" s="395"/>
      <c r="C203" s="395"/>
      <c r="D203" s="395"/>
      <c r="E203" s="395"/>
      <c r="F203" s="395"/>
      <c r="G203" s="395"/>
      <c r="H203" s="395"/>
      <c r="I203" s="395"/>
      <c r="J203" s="246"/>
      <c r="K203" s="210"/>
      <c r="L203" s="210"/>
      <c r="M203" s="210"/>
    </row>
    <row r="204" spans="1:23" ht="15" x14ac:dyDescent="0.2">
      <c r="A204" s="425">
        <v>2013</v>
      </c>
      <c r="B204" s="425"/>
      <c r="C204" s="290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25">
        <v>2014</v>
      </c>
      <c r="B205" s="425"/>
      <c r="C205" s="294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262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411" t="s">
        <v>89</v>
      </c>
      <c r="B208" s="411"/>
      <c r="C208" s="325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95" t="s">
        <v>189</v>
      </c>
      <c r="B209" s="395"/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</row>
    <row r="210" spans="1:12" ht="15" x14ac:dyDescent="0.2">
      <c r="A210" s="412">
        <f t="shared" ref="A210:A221" si="33">A187</f>
        <v>2001</v>
      </c>
      <c r="B210" s="412"/>
      <c r="C210" s="292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412">
        <f t="shared" si="33"/>
        <v>2002</v>
      </c>
      <c r="B211" s="412"/>
      <c r="C211" s="292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412">
        <f t="shared" si="33"/>
        <v>2003</v>
      </c>
      <c r="B212" s="412"/>
      <c r="C212" s="294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412">
        <f t="shared" si="33"/>
        <v>2004</v>
      </c>
      <c r="B213" s="412"/>
      <c r="C213" s="294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412">
        <f t="shared" si="33"/>
        <v>2005</v>
      </c>
      <c r="B214" s="412"/>
      <c r="C214" s="294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412">
        <f t="shared" si="33"/>
        <v>2006</v>
      </c>
      <c r="B215" s="412"/>
      <c r="C215" s="294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706685.75359590712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412">
        <f t="shared" si="33"/>
        <v>2007</v>
      </c>
      <c r="B216" s="412"/>
      <c r="C216" s="294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412">
        <f t="shared" si="33"/>
        <v>2008</v>
      </c>
      <c r="B217" s="412"/>
      <c r="C217" s="294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412">
        <f t="shared" si="33"/>
        <v>2009</v>
      </c>
      <c r="B218" s="412"/>
      <c r="C218" s="294"/>
      <c r="D218" s="239">
        <f t="shared" si="35"/>
        <v>8639.3480086025284</v>
      </c>
      <c r="E218" s="239">
        <f t="shared" si="35"/>
        <v>35304.546677693645</v>
      </c>
      <c r="F218" s="239">
        <f t="shared" si="35"/>
        <v>624043.24213462626</v>
      </c>
      <c r="G218" s="239">
        <f t="shared" si="35"/>
        <v>7283120.2011315851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760.1051534954147</v>
      </c>
      <c r="K218" s="239">
        <f t="shared" si="35"/>
        <v>4288.467755885863</v>
      </c>
      <c r="L218" s="239">
        <f t="shared" ref="L218" si="43">L77</f>
        <v>27136267.779458601</v>
      </c>
    </row>
    <row r="219" spans="1:12" x14ac:dyDescent="0.2">
      <c r="A219" s="412">
        <f t="shared" si="33"/>
        <v>2010</v>
      </c>
      <c r="B219" s="412"/>
      <c r="C219" s="294"/>
      <c r="D219" s="239">
        <f t="shared" si="35"/>
        <v>8821.514350797097</v>
      </c>
      <c r="E219" s="239">
        <f t="shared" si="35"/>
        <v>35508.230412391189</v>
      </c>
      <c r="F219" s="239">
        <f t="shared" si="35"/>
        <v>602420.55870491243</v>
      </c>
      <c r="G219" s="239">
        <f t="shared" si="35"/>
        <v>8496833.4022547696</v>
      </c>
      <c r="H219" s="239">
        <f t="shared" si="35"/>
        <v>98278640.311352998</v>
      </c>
      <c r="I219" s="239">
        <f t="shared" si="35"/>
        <v>43796746.469999999</v>
      </c>
      <c r="J219" s="239">
        <f t="shared" si="35"/>
        <v>757.98908488633981</v>
      </c>
      <c r="K219" s="239">
        <f t="shared" si="35"/>
        <v>3963.2407637355345</v>
      </c>
      <c r="L219" s="239">
        <f t="shared" ref="L219" si="44">L78</f>
        <v>24905414.236567475</v>
      </c>
    </row>
    <row r="220" spans="1:12" x14ac:dyDescent="0.2">
      <c r="A220" s="412">
        <f t="shared" si="33"/>
        <v>2011</v>
      </c>
      <c r="B220" s="412"/>
      <c r="C220" s="294"/>
      <c r="D220" s="239">
        <f t="shared" si="35"/>
        <v>8662.1317016504199</v>
      </c>
      <c r="E220" s="239">
        <f t="shared" si="35"/>
        <v>34198.524515304678</v>
      </c>
      <c r="F220" s="239">
        <f t="shared" si="35"/>
        <v>604228.10792279465</v>
      </c>
      <c r="G220" s="239">
        <f t="shared" si="35"/>
        <v>8598827.6741832141</v>
      </c>
      <c r="H220" s="239">
        <f t="shared" si="35"/>
        <v>84597900.095935002</v>
      </c>
      <c r="I220" s="239">
        <f t="shared" si="35"/>
        <v>46753740.939999998</v>
      </c>
      <c r="J220" s="239">
        <f t="shared" si="35"/>
        <v>754.10825158583202</v>
      </c>
      <c r="K220" s="239">
        <f t="shared" si="35"/>
        <v>4018.6794702854027</v>
      </c>
      <c r="L220" s="239">
        <f t="shared" ref="L220" si="45">L79</f>
        <v>25633242.453565713</v>
      </c>
    </row>
    <row r="221" spans="1:12" x14ac:dyDescent="0.2">
      <c r="A221" s="412">
        <f t="shared" si="33"/>
        <v>2012</v>
      </c>
      <c r="B221" s="412"/>
      <c r="C221" s="294"/>
      <c r="D221" s="239">
        <f t="shared" si="35"/>
        <v>8633.4779809615957</v>
      </c>
      <c r="E221" s="239">
        <f t="shared" si="35"/>
        <v>34025.967469642783</v>
      </c>
      <c r="F221" s="239">
        <f t="shared" si="35"/>
        <v>593891.75762258796</v>
      </c>
      <c r="G221" s="239">
        <f t="shared" si="35"/>
        <v>8378886.6359365918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4108.8472920388385</v>
      </c>
      <c r="L221" s="239">
        <f t="shared" ref="L221" si="46">L80</f>
        <v>22395380.176944397</v>
      </c>
    </row>
    <row r="223" spans="1:12" ht="15" x14ac:dyDescent="0.2">
      <c r="A223" s="410" t="s">
        <v>263</v>
      </c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</row>
    <row r="224" spans="1:12" ht="60" x14ac:dyDescent="0.2">
      <c r="A224" s="411" t="s">
        <v>89</v>
      </c>
      <c r="B224" s="411"/>
      <c r="C224" s="325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95" t="s">
        <v>190</v>
      </c>
      <c r="B225" s="395"/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</row>
    <row r="226" spans="1:23" ht="15" x14ac:dyDescent="0.2">
      <c r="A226" s="412">
        <f t="shared" ref="A226:A237" si="48">A210</f>
        <v>2001</v>
      </c>
      <c r="B226" s="412"/>
      <c r="C226" s="292"/>
      <c r="D226" s="240"/>
      <c r="E226" s="292"/>
      <c r="F226" s="292"/>
      <c r="G226" s="292"/>
      <c r="H226" s="246"/>
      <c r="I226" s="246"/>
      <c r="J226" s="209"/>
      <c r="K226" s="210"/>
      <c r="L226" s="210"/>
    </row>
    <row r="227" spans="1:23" ht="15" x14ac:dyDescent="0.2">
      <c r="A227" s="412">
        <f t="shared" si="48"/>
        <v>2002</v>
      </c>
      <c r="B227" s="412"/>
      <c r="C227" s="292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412">
        <f t="shared" si="48"/>
        <v>2003</v>
      </c>
      <c r="B228" s="412"/>
      <c r="C228" s="294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412">
        <f t="shared" si="48"/>
        <v>2004</v>
      </c>
      <c r="B229" s="412"/>
      <c r="C229" s="294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412">
        <f t="shared" si="48"/>
        <v>2005</v>
      </c>
      <c r="B230" s="412"/>
      <c r="C230" s="294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412">
        <f t="shared" si="48"/>
        <v>2006</v>
      </c>
      <c r="B231" s="412"/>
      <c r="C231" s="294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-6.2129628853453411E-2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-6.2129628853453078E-2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412">
        <f t="shared" si="48"/>
        <v>2007</v>
      </c>
      <c r="B232" s="412"/>
      <c r="C232" s="294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-8.0342977045408936E-3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-8.0342977045410047E-3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412">
        <f t="shared" si="48"/>
        <v>2008</v>
      </c>
      <c r="B233" s="412"/>
      <c r="C233" s="294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412">
        <f t="shared" si="48"/>
        <v>2009</v>
      </c>
      <c r="B234" s="412"/>
      <c r="C234" s="294"/>
      <c r="D234" s="240">
        <f t="shared" si="50"/>
        <v>-3.1238699344739884E-2</v>
      </c>
      <c r="E234" s="240">
        <f t="shared" ref="E234:K234" si="56">E218/E217-1</f>
        <v>-7.7489664801185243E-2</v>
      </c>
      <c r="F234" s="240">
        <f t="shared" si="56"/>
        <v>-7.0192112580356958E-2</v>
      </c>
      <c r="G234" s="240">
        <f t="shared" si="56"/>
        <v>-7.3913054193747718E-2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-5.2714863440228577E-3</v>
      </c>
      <c r="K234" s="240">
        <f t="shared" si="56"/>
        <v>-7.2152328143078592E-2</v>
      </c>
      <c r="L234" s="240"/>
      <c r="N234" s="240">
        <f>'Rate Class Energy Model'!H59-1</f>
        <v>-3.1238699344739884E-2</v>
      </c>
      <c r="O234" s="240">
        <f>'Rate Class Energy Model'!I59-1</f>
        <v>-7.7489664801185021E-2</v>
      </c>
      <c r="P234" s="240">
        <f>'Rate Class Energy Model'!J59-1</f>
        <v>-7.019211258035718E-2</v>
      </c>
      <c r="Q234" s="240">
        <f>'Rate Class Energy Model'!K59-1</f>
        <v>-7.3913054193747829E-2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-5.2714863440227466E-3</v>
      </c>
      <c r="U234" s="240">
        <f>'Rate Class Energy Model'!O59-1</f>
        <v>-7.2152328143078592E-2</v>
      </c>
      <c r="V234" s="240"/>
    </row>
    <row r="235" spans="1:23" ht="15" x14ac:dyDescent="0.2">
      <c r="A235" s="412">
        <f t="shared" si="48"/>
        <v>2010</v>
      </c>
      <c r="B235" s="412"/>
      <c r="C235" s="294"/>
      <c r="D235" s="240">
        <f t="shared" si="50"/>
        <v>2.1085658548906538E-2</v>
      </c>
      <c r="E235" s="240">
        <f t="shared" ref="E235:K235" si="57">E219/E218-1</f>
        <v>5.7693343737574843E-3</v>
      </c>
      <c r="F235" s="240">
        <f t="shared" si="57"/>
        <v>-3.4649335125800707E-2</v>
      </c>
      <c r="G235" s="240">
        <f t="shared" si="57"/>
        <v>0.16664742138055177</v>
      </c>
      <c r="H235" s="240">
        <f t="shared" si="57"/>
        <v>8.7880688390539419E-2</v>
      </c>
      <c r="I235" s="240">
        <f t="shared" si="57"/>
        <v>1.3654546436074888E-2</v>
      </c>
      <c r="J235" s="240">
        <f t="shared" si="57"/>
        <v>-2.7839156192323022E-3</v>
      </c>
      <c r="K235" s="240">
        <f t="shared" si="57"/>
        <v>-7.5837574318696643E-2</v>
      </c>
      <c r="L235" s="240">
        <f t="shared" ref="L235" si="58">L219/L218-1</f>
        <v>-8.2209298678126208E-2</v>
      </c>
      <c r="M235" s="247"/>
      <c r="N235" s="240">
        <f>'Rate Class Energy Model'!H60-1</f>
        <v>2.1085658548906538E-2</v>
      </c>
      <c r="O235" s="240">
        <f>'Rate Class Energy Model'!I60-1</f>
        <v>5.7693343737572622E-3</v>
      </c>
      <c r="P235" s="240">
        <f>'Rate Class Energy Model'!J60-1</f>
        <v>-3.4649335125800707E-2</v>
      </c>
      <c r="Q235" s="240">
        <f>'Rate Class Energy Model'!K60-1</f>
        <v>0.166647421380552</v>
      </c>
      <c r="R235" s="240">
        <f>'Rate Class Energy Model'!L60-1</f>
        <v>8.7880688390539419E-2</v>
      </c>
      <c r="S235" s="240">
        <f>'Rate Class Energy Model'!M60-1</f>
        <v>1.3654546436074888E-2</v>
      </c>
      <c r="T235" s="240">
        <f>'Rate Class Energy Model'!N60-1</f>
        <v>-2.7839156192321912E-3</v>
      </c>
      <c r="U235" s="240">
        <f>'Rate Class Energy Model'!O60-1</f>
        <v>-7.5837574318696643E-2</v>
      </c>
      <c r="V235" s="240">
        <f>'Rate Class Energy Model'!P60</f>
        <v>0.99931891366796444</v>
      </c>
      <c r="W235" s="240">
        <f>L235+1</f>
        <v>0.91779070132187379</v>
      </c>
    </row>
    <row r="236" spans="1:23" ht="15" x14ac:dyDescent="0.2">
      <c r="A236" s="412">
        <f t="shared" si="48"/>
        <v>2011</v>
      </c>
      <c r="B236" s="412"/>
      <c r="C236" s="294"/>
      <c r="D236" s="240">
        <f t="shared" si="50"/>
        <v>-1.8067493041291183E-2</v>
      </c>
      <c r="E236" s="240">
        <f t="shared" ref="E236:K237" si="59">E220/E219-1</f>
        <v>-3.6884572446321262E-2</v>
      </c>
      <c r="F236" s="240">
        <f t="shared" si="59"/>
        <v>3.0004773106815374E-3</v>
      </c>
      <c r="G236" s="240">
        <f t="shared" si="59"/>
        <v>1.2003798015079115E-2</v>
      </c>
      <c r="H236" s="240">
        <f t="shared" si="59"/>
        <v>-0.13920359675384741</v>
      </c>
      <c r="I236" s="240">
        <f t="shared" si="59"/>
        <v>6.7516304482240219E-2</v>
      </c>
      <c r="J236" s="240">
        <f t="shared" si="59"/>
        <v>-5.1199065763456453E-3</v>
      </c>
      <c r="K236" s="240">
        <f t="shared" si="59"/>
        <v>1.3988225761387918E-2</v>
      </c>
      <c r="L236" s="240">
        <f t="shared" ref="L236" si="60">L220/L219-1</f>
        <v>2.9223694498106356E-2</v>
      </c>
      <c r="M236" s="247"/>
      <c r="N236" s="240">
        <f>'Rate Class Energy Model'!H61-1</f>
        <v>-1.8067493041291183E-2</v>
      </c>
      <c r="O236" s="240">
        <f>'Rate Class Energy Model'!I61-1</f>
        <v>-3.688457244632104E-2</v>
      </c>
      <c r="P236" s="240">
        <f>'Rate Class Energy Model'!J61-1</f>
        <v>3.0004773106817595E-3</v>
      </c>
      <c r="Q236" s="240">
        <f>'Rate Class Energy Model'!K61-1</f>
        <v>1.2003798015079115E-2</v>
      </c>
      <c r="R236" s="240">
        <f>'Rate Class Energy Model'!L61-1</f>
        <v>-0.13920359675384741</v>
      </c>
      <c r="S236" s="240">
        <f>'Rate Class Energy Model'!M61-1</f>
        <v>6.7516304482240219E-2</v>
      </c>
      <c r="T236" s="240">
        <f>'Rate Class Energy Model'!N61-1</f>
        <v>-5.1199065763459783E-3</v>
      </c>
      <c r="U236" s="240">
        <f>'Rate Class Energy Model'!O61-1</f>
        <v>1.398822576138814E-2</v>
      </c>
      <c r="V236" s="240">
        <f>'Rate Class Energy Model'!P61</f>
        <v>0.98998226045825388</v>
      </c>
      <c r="W236" s="240">
        <f t="shared" ref="W236:W237" si="61">L236+1</f>
        <v>1.0292236944981064</v>
      </c>
    </row>
    <row r="237" spans="1:23" ht="15" x14ac:dyDescent="0.2">
      <c r="A237" s="412">
        <f t="shared" si="48"/>
        <v>2012</v>
      </c>
      <c r="B237" s="412"/>
      <c r="C237" s="294"/>
      <c r="D237" s="240">
        <f t="shared" si="50"/>
        <v>-3.3079294653721725E-3</v>
      </c>
      <c r="E237" s="240">
        <f t="shared" si="59"/>
        <v>-5.0457453386526518E-3</v>
      </c>
      <c r="F237" s="240">
        <f t="shared" si="59"/>
        <v>-1.7106702195203716E-2</v>
      </c>
      <c r="G237" s="240">
        <f t="shared" si="59"/>
        <v>-2.5578026049639879E-2</v>
      </c>
      <c r="H237" s="240">
        <f t="shared" si="59"/>
        <v>0.18909278471657553</v>
      </c>
      <c r="I237" s="240">
        <f t="shared" si="59"/>
        <v>-2.78284843916492E-2</v>
      </c>
      <c r="J237" s="240">
        <f t="shared" si="59"/>
        <v>5.3582731702841446E-3</v>
      </c>
      <c r="K237" s="240">
        <f t="shared" si="59"/>
        <v>2.2437176794055658E-2</v>
      </c>
      <c r="L237" s="240">
        <f t="shared" ref="L237" si="62">L221/L220-1</f>
        <v>-0.12631497097905819</v>
      </c>
      <c r="M237" s="247"/>
      <c r="N237" s="240">
        <f>'Rate Class Energy Model'!H62-1</f>
        <v>-3.3079294653721725E-3</v>
      </c>
      <c r="O237" s="240">
        <f>'Rate Class Energy Model'!I62-1</f>
        <v>-5.0457453386526518E-3</v>
      </c>
      <c r="P237" s="240">
        <f>'Rate Class Energy Model'!J62-1</f>
        <v>-1.7106702195203938E-2</v>
      </c>
      <c r="Q237" s="240">
        <f>'Rate Class Energy Model'!K62-1</f>
        <v>-2.5578026049639768E-2</v>
      </c>
      <c r="R237" s="240">
        <f>'Rate Class Energy Model'!L62-1</f>
        <v>0.18909278471657553</v>
      </c>
      <c r="S237" s="240">
        <f>'Rate Class Energy Model'!M62-1</f>
        <v>-2.78284843916492E-2</v>
      </c>
      <c r="T237" s="240">
        <f>'Rate Class Energy Model'!N62-1</f>
        <v>5.3582731702845887E-3</v>
      </c>
      <c r="U237" s="240">
        <f>'Rate Class Energy Model'!O62-1</f>
        <v>2.2437176794055436E-2</v>
      </c>
      <c r="V237" s="240">
        <f>'Rate Class Energy Model'!P62</f>
        <v>0.96512507933696889</v>
      </c>
      <c r="W237" s="240">
        <f t="shared" si="61"/>
        <v>0.87368502902094181</v>
      </c>
    </row>
    <row r="238" spans="1:23" ht="15" x14ac:dyDescent="0.2">
      <c r="A238" s="395" t="str">
        <f>A199</f>
        <v>Geometric Mean</v>
      </c>
      <c r="B238" s="395"/>
      <c r="C238" s="292"/>
      <c r="D238" s="241">
        <f>'Rate Class Energy Model'!H66-1</f>
        <v>-7.4523908585429899E-3</v>
      </c>
      <c r="E238" s="241">
        <f>'Rate Class Energy Model'!I66-1</f>
        <v>-7.5871532530680241E-3</v>
      </c>
      <c r="F238" s="241">
        <f>'Rate Class Energy Model'!J66-1</f>
        <v>-1.841816206235658E-2</v>
      </c>
      <c r="G238" s="241">
        <f>'Rate Class Energy Model'!K66-1</f>
        <v>-1.0915906350536742E-2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-5.6069824973777438E-2</v>
      </c>
      <c r="L238" s="241">
        <f>W238</f>
        <v>-6.2000138259807325E-2</v>
      </c>
      <c r="V238" s="327">
        <f>GEOMEAN(V235:V237)-1</f>
        <v>-1.5297500527556407E-2</v>
      </c>
      <c r="W238" s="327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410" t="s">
        <v>264</v>
      </c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</row>
    <row r="241" spans="1:14" ht="60" x14ac:dyDescent="0.2">
      <c r="A241" s="389" t="s">
        <v>89</v>
      </c>
      <c r="B241" s="427"/>
      <c r="C241" s="325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95" t="s">
        <v>191</v>
      </c>
      <c r="B242" s="395"/>
      <c r="C242" s="395"/>
      <c r="D242" s="395"/>
      <c r="E242" s="395"/>
      <c r="F242" s="395"/>
      <c r="G242" s="395"/>
      <c r="H242" s="395"/>
      <c r="I242" s="395"/>
      <c r="J242" s="395"/>
      <c r="K242" s="395"/>
      <c r="L242" s="395"/>
    </row>
    <row r="243" spans="1:14" ht="15" customHeight="1" x14ac:dyDescent="0.2">
      <c r="A243" s="405">
        <v>2013</v>
      </c>
      <c r="B243" s="428"/>
      <c r="C243" s="242"/>
      <c r="D243" s="243">
        <f>D221*(1+D238)</f>
        <v>8569.1379285788462</v>
      </c>
      <c r="E243" s="243">
        <f t="shared" ref="E243:K243" si="64">E221*(1+E238)</f>
        <v>33767.807239866699</v>
      </c>
      <c r="F243" s="243">
        <f t="shared" si="64"/>
        <v>582953.36298319732</v>
      </c>
      <c r="G243" s="243">
        <f t="shared" si="64"/>
        <v>8287423.4940969441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3878.4649435302413</v>
      </c>
      <c r="L243" s="243">
        <f>L221*(1+V238)</f>
        <v>22052786.836872764</v>
      </c>
      <c r="M243" s="215"/>
    </row>
    <row r="244" spans="1:14" ht="15" customHeight="1" x14ac:dyDescent="0.2">
      <c r="A244" s="405">
        <v>2014</v>
      </c>
      <c r="B244" s="428"/>
      <c r="C244" s="189"/>
      <c r="D244" s="243">
        <f>D243*(1+D238)</f>
        <v>8505.2773634143105</v>
      </c>
      <c r="E244" s="243">
        <f t="shared" ref="E244:K244" si="65">E243*(1+E238)</f>
        <v>33511.605711317774</v>
      </c>
      <c r="F244" s="243">
        <f t="shared" si="65"/>
        <v>572216.43346897699</v>
      </c>
      <c r="G244" s="243">
        <f t="shared" si="65"/>
        <v>8196958.7553481441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3661.0000929795692</v>
      </c>
      <c r="L244" s="243">
        <f>L243*(1+V238)</f>
        <v>21715434.318601612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410" t="s">
        <v>265</v>
      </c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</row>
    <row r="247" spans="1:14" ht="60" x14ac:dyDescent="0.2">
      <c r="A247" s="411" t="s">
        <v>89</v>
      </c>
      <c r="B247" s="411"/>
      <c r="C247" s="325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84" t="s">
        <v>192</v>
      </c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</row>
    <row r="249" spans="1:14" ht="15" x14ac:dyDescent="0.2">
      <c r="A249" s="189" t="s">
        <v>193</v>
      </c>
      <c r="B249" s="189"/>
      <c r="C249" s="189"/>
      <c r="D249" s="250">
        <f>D243*D204/1000000</f>
        <v>404.27874257322412</v>
      </c>
      <c r="E249" s="250">
        <f t="shared" ref="E249:L249" si="67">E243*E204/1000000</f>
        <v>158.72831396442959</v>
      </c>
      <c r="F249" s="250">
        <f t="shared" si="67"/>
        <v>439.72904986487174</v>
      </c>
      <c r="G249" s="250">
        <f t="shared" si="67"/>
        <v>225.3314542645164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1.8863854314845314</v>
      </c>
      <c r="L249" s="250">
        <f t="shared" si="67"/>
        <v>44.105573673745525</v>
      </c>
      <c r="M249" s="250">
        <f>SUM(D249:L249)</f>
        <v>1534.8502289095611</v>
      </c>
    </row>
    <row r="250" spans="1:14" ht="15" x14ac:dyDescent="0.2">
      <c r="A250" s="189" t="s">
        <v>266</v>
      </c>
      <c r="B250" s="189"/>
      <c r="C250" s="189"/>
      <c r="D250" s="250">
        <f>D244*D205/1000000</f>
        <v>409.02498135881234</v>
      </c>
      <c r="E250" s="250">
        <f t="shared" ref="E250:L250" si="68">E244*E205/1000000</f>
        <v>158.86170555792899</v>
      </c>
      <c r="F250" s="250">
        <f t="shared" si="68"/>
        <v>442.06920821298075</v>
      </c>
      <c r="G250" s="250">
        <f t="shared" si="68"/>
        <v>224.4365377419962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1.7656387637725963</v>
      </c>
      <c r="L250" s="250">
        <f t="shared" si="68"/>
        <v>43.430868637203226</v>
      </c>
      <c r="M250" s="250">
        <f>SUM(D250:L250)</f>
        <v>1544.967872024039</v>
      </c>
    </row>
    <row r="252" spans="1:14" ht="15" x14ac:dyDescent="0.2">
      <c r="D252" s="410" t="s">
        <v>267</v>
      </c>
      <c r="E252" s="410"/>
      <c r="F252" s="410"/>
      <c r="G252" s="410"/>
      <c r="H252" s="410"/>
      <c r="I252" s="410"/>
      <c r="J252" s="410"/>
      <c r="K252" s="410"/>
      <c r="L252" s="410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95" t="s">
        <v>100</v>
      </c>
      <c r="E254" s="395"/>
      <c r="F254" s="395"/>
      <c r="G254" s="395"/>
      <c r="H254" s="395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26" t="s">
        <v>268</v>
      </c>
      <c r="C258" s="426"/>
      <c r="D258" s="426"/>
      <c r="E258" s="426"/>
      <c r="F258" s="426"/>
      <c r="G258" s="426"/>
      <c r="H258" s="426"/>
    </row>
    <row r="259" spans="2:13" x14ac:dyDescent="0.2">
      <c r="B259" s="416" t="s">
        <v>194</v>
      </c>
      <c r="C259" s="416"/>
      <c r="D259" s="416"/>
      <c r="E259" s="416"/>
      <c r="F259" s="416"/>
      <c r="G259" s="416"/>
      <c r="H259" s="416"/>
    </row>
    <row r="260" spans="2:13" x14ac:dyDescent="0.2">
      <c r="B260" s="417">
        <f>'CDM Activity'!P2</f>
        <v>73660000</v>
      </c>
      <c r="C260" s="417"/>
      <c r="D260" s="417"/>
      <c r="E260" s="417"/>
      <c r="F260" s="417"/>
      <c r="G260" s="417"/>
      <c r="H260" s="417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195</v>
      </c>
      <c r="C262" s="210"/>
      <c r="D262" s="227">
        <f>'CDM Activity'!P6</f>
        <v>0.18259571001900624</v>
      </c>
      <c r="E262" s="227">
        <f>'CDM Activity'!Q6</f>
        <v>0.17512897094759708</v>
      </c>
      <c r="F262" s="227">
        <f>'CDM Activity'!R6</f>
        <v>0.17512897094759708</v>
      </c>
      <c r="G262" s="227">
        <f>'CDM Activity'!S6</f>
        <v>0.17404289980993756</v>
      </c>
      <c r="H262" s="228">
        <f>SUM(D262:G262)</f>
        <v>0.70689655172413801</v>
      </c>
    </row>
    <row r="263" spans="2:13" x14ac:dyDescent="0.2">
      <c r="B263" s="253" t="s">
        <v>196</v>
      </c>
      <c r="C263" s="210"/>
      <c r="D263" s="228"/>
      <c r="E263" s="228">
        <f>(100%-H262)/6</f>
        <v>4.8850574712643667E-2</v>
      </c>
      <c r="F263" s="228">
        <f>E263</f>
        <v>4.8850574712643667E-2</v>
      </c>
      <c r="G263" s="228">
        <f>F263</f>
        <v>4.8850574712643667E-2</v>
      </c>
      <c r="H263" s="228">
        <f>SUM(D263:G263)</f>
        <v>0.14655172413793099</v>
      </c>
    </row>
    <row r="264" spans="2:13" x14ac:dyDescent="0.2">
      <c r="B264" s="253" t="s">
        <v>197</v>
      </c>
      <c r="C264" s="210"/>
      <c r="D264" s="254"/>
      <c r="E264" s="228"/>
      <c r="F264" s="228">
        <f>F263</f>
        <v>4.8850574712643667E-2</v>
      </c>
      <c r="G264" s="228">
        <f>G263</f>
        <v>4.8850574712643667E-2</v>
      </c>
      <c r="H264" s="228">
        <f>SUM(D264:G264)</f>
        <v>9.7701149425287334E-2</v>
      </c>
    </row>
    <row r="265" spans="2:13" x14ac:dyDescent="0.2">
      <c r="B265" s="253" t="s">
        <v>198</v>
      </c>
      <c r="C265" s="210"/>
      <c r="D265" s="254"/>
      <c r="E265" s="254"/>
      <c r="F265" s="228"/>
      <c r="G265" s="228">
        <f>G264</f>
        <v>4.8850574712643667E-2</v>
      </c>
      <c r="H265" s="228">
        <f>SUM(D265:G265)</f>
        <v>4.8850574712643667E-2</v>
      </c>
    </row>
    <row r="266" spans="2:13" x14ac:dyDescent="0.2">
      <c r="B266" s="253"/>
      <c r="C266" s="210"/>
      <c r="D266" s="228">
        <f>SUM(D262:D265)</f>
        <v>0.18259571001900624</v>
      </c>
      <c r="E266" s="228">
        <f>SUM(E262:E265)</f>
        <v>0.22397954566024075</v>
      </c>
      <c r="F266" s="228">
        <f>SUM(F262:F265)</f>
        <v>0.2728301203728844</v>
      </c>
      <c r="G266" s="228">
        <f>SUM(G262:G265)</f>
        <v>0.32059462394786853</v>
      </c>
      <c r="H266" s="228">
        <f>SUM(D266:G266)</f>
        <v>1</v>
      </c>
    </row>
    <row r="267" spans="2:13" x14ac:dyDescent="0.2">
      <c r="B267" s="416" t="s">
        <v>132</v>
      </c>
      <c r="C267" s="416"/>
      <c r="D267" s="416"/>
      <c r="E267" s="416"/>
      <c r="F267" s="416"/>
      <c r="G267" s="416"/>
      <c r="H267" s="416"/>
    </row>
    <row r="268" spans="2:13" x14ac:dyDescent="0.2">
      <c r="B268" s="253" t="s">
        <v>195</v>
      </c>
      <c r="C268" s="210"/>
      <c r="D268" s="229">
        <f>D262*$B$260</f>
        <v>13450000</v>
      </c>
      <c r="E268" s="229">
        <f>E262*$B$260</f>
        <v>12900000</v>
      </c>
      <c r="F268" s="229">
        <f>F262*$B$260</f>
        <v>12900000</v>
      </c>
      <c r="G268" s="229">
        <f>G262*$B$260</f>
        <v>12820000</v>
      </c>
      <c r="H268" s="229">
        <f>SUM(D268:G268)</f>
        <v>52070000</v>
      </c>
      <c r="J268" s="215">
        <f>'CDM Activity'!P12</f>
        <v>13450000</v>
      </c>
      <c r="K268" s="215">
        <f>'CDM Activity'!Q12</f>
        <v>12900000</v>
      </c>
      <c r="L268" s="215">
        <f>'CDM Activity'!R12</f>
        <v>12900000</v>
      </c>
      <c r="M268" s="215">
        <f>'CDM Activity'!S12</f>
        <v>12820000</v>
      </c>
    </row>
    <row r="269" spans="2:13" x14ac:dyDescent="0.2">
      <c r="B269" s="253" t="s">
        <v>196</v>
      </c>
      <c r="C269" s="210"/>
      <c r="D269" s="229"/>
      <c r="E269" s="229">
        <f>E263*$B$260</f>
        <v>3598333.3333333326</v>
      </c>
      <c r="F269" s="229">
        <f>F263*$B$260</f>
        <v>3598333.3333333326</v>
      </c>
      <c r="G269" s="229">
        <f>G263*$B$260</f>
        <v>3598333.3333333326</v>
      </c>
      <c r="H269" s="229">
        <f>SUM(D269:G269)</f>
        <v>10794999.999999998</v>
      </c>
      <c r="J269" s="215">
        <f>'CDM Activity'!P13</f>
        <v>0</v>
      </c>
      <c r="K269" s="215">
        <f>'CDM Activity'!Q13</f>
        <v>7910000</v>
      </c>
      <c r="L269" s="215">
        <f>'CDM Activity'!R13</f>
        <v>7850000</v>
      </c>
      <c r="M269" s="215">
        <f>'CDM Activity'!S13</f>
        <v>7810000</v>
      </c>
    </row>
    <row r="270" spans="2:13" x14ac:dyDescent="0.2">
      <c r="B270" s="253" t="s">
        <v>197</v>
      </c>
      <c r="C270" s="210"/>
      <c r="D270" s="229"/>
      <c r="E270" s="229"/>
      <c r="F270" s="229">
        <f>F264*$B$260</f>
        <v>3598333.3333333326</v>
      </c>
      <c r="G270" s="229">
        <f>G264*$B$260</f>
        <v>3598333.3333333326</v>
      </c>
      <c r="H270" s="229">
        <f>SUM(D270:G270)</f>
        <v>7196666.6666666651</v>
      </c>
      <c r="J270" s="215">
        <f>'CDM Activity'!P14</f>
        <v>0</v>
      </c>
      <c r="K270" s="215">
        <f>'CDM Activity'!Q14</f>
        <v>0</v>
      </c>
      <c r="L270" s="215">
        <f>'CDM Activity'!R14</f>
        <v>4708000</v>
      </c>
      <c r="M270" s="215">
        <f>'CDM Activity'!S14</f>
        <v>3920000</v>
      </c>
    </row>
    <row r="271" spans="2:13" x14ac:dyDescent="0.2">
      <c r="B271" s="253" t="s">
        <v>198</v>
      </c>
      <c r="C271" s="210"/>
      <c r="D271" s="229"/>
      <c r="E271" s="229"/>
      <c r="F271" s="229"/>
      <c r="G271" s="229">
        <f>G265*$B$260</f>
        <v>3598333.3333333326</v>
      </c>
      <c r="H271" s="229">
        <f>SUM(D271:G271)</f>
        <v>3598333.3333333326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16230000</v>
      </c>
    </row>
    <row r="272" spans="2:13" x14ac:dyDescent="0.2">
      <c r="B272" s="210"/>
      <c r="C272" s="210"/>
      <c r="D272" s="229">
        <f>SUM(D268:D271)</f>
        <v>13450000</v>
      </c>
      <c r="E272" s="229">
        <f>SUM(E268:E271)</f>
        <v>16498333.333333332</v>
      </c>
      <c r="F272" s="229">
        <f>SUM(F268:F271)</f>
        <v>20096666.666666664</v>
      </c>
      <c r="G272" s="229">
        <f>SUM(G268:G271)</f>
        <v>23614999.999999996</v>
      </c>
      <c r="H272" s="229">
        <f>SUM(D272:G272)</f>
        <v>73660000</v>
      </c>
      <c r="J272" s="215">
        <f>'CDM Activity'!P16</f>
        <v>13450000</v>
      </c>
      <c r="K272" s="215">
        <f>'CDM Activity'!Q16</f>
        <v>20810000</v>
      </c>
      <c r="L272" s="215">
        <f>'CDM Activity'!R16</f>
        <v>25458000</v>
      </c>
      <c r="M272" s="215">
        <f>'CDM Activity'!S16</f>
        <v>40780000</v>
      </c>
    </row>
    <row r="274" spans="1:13" ht="15" x14ac:dyDescent="0.2">
      <c r="B274" s="410" t="s">
        <v>281</v>
      </c>
      <c r="C274" s="410"/>
      <c r="D274" s="410"/>
      <c r="E274" s="410"/>
      <c r="F274" s="410"/>
      <c r="G274" s="410"/>
      <c r="H274" s="410"/>
      <c r="I274" s="410"/>
      <c r="J274" s="410"/>
      <c r="K274" s="410"/>
      <c r="L274" s="410"/>
      <c r="M274" s="410"/>
    </row>
    <row r="275" spans="1:13" ht="60" x14ac:dyDescent="0.2">
      <c r="A275"/>
      <c r="B275" s="328"/>
      <c r="C275" s="325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2" t="s">
        <v>132</v>
      </c>
      <c r="C276" s="294"/>
      <c r="D276" s="244">
        <f>D250/($M$250-$L$250)*$G$272</f>
        <v>6432825.1072077677</v>
      </c>
      <c r="E276" s="244">
        <f t="shared" ref="E276:K276" si="71">E250/($M$250-$L$250)*$G$272</f>
        <v>2498452.6976615586</v>
      </c>
      <c r="F276" s="244">
        <f t="shared" si="71"/>
        <v>6952518.8712649103</v>
      </c>
      <c r="G276" s="244">
        <f t="shared" si="71"/>
        <v>3529762.388021417</v>
      </c>
      <c r="H276" s="244">
        <f t="shared" si="71"/>
        <v>3291615.0952588064</v>
      </c>
      <c r="I276" s="244">
        <f t="shared" si="71"/>
        <v>729544.36771673465</v>
      </c>
      <c r="J276" s="244">
        <f t="shared" si="71"/>
        <v>152512.88687162605</v>
      </c>
      <c r="K276" s="244">
        <f t="shared" si="71"/>
        <v>27768.585997176371</v>
      </c>
      <c r="L276" s="244">
        <v>0</v>
      </c>
      <c r="M276" s="244">
        <f>SUM(D276:L276)</f>
        <v>23614999.999999993</v>
      </c>
    </row>
    <row r="277" spans="1:13" ht="15" x14ac:dyDescent="0.25">
      <c r="B277" s="292" t="s">
        <v>199</v>
      </c>
      <c r="C277" s="294"/>
      <c r="D277" s="250"/>
      <c r="E277" s="250"/>
      <c r="F277" s="244">
        <f>F276*'Rate Class Load Model'!B35</f>
        <v>19757.43736616155</v>
      </c>
      <c r="G277" s="244">
        <f>G276*'Rate Class Load Model'!C35</f>
        <v>8396.263058626475</v>
      </c>
      <c r="H277" s="244">
        <f>H276*'Rate Class Load Model'!D35</f>
        <v>6820.2779551054009</v>
      </c>
      <c r="I277" s="244">
        <f>I276*'Rate Class Load Model'!E35</f>
        <v>1259.1401496339658</v>
      </c>
      <c r="J277" s="244">
        <f>J276*'Rate Class Load Model'!F35</f>
        <v>409.33304330347147</v>
      </c>
      <c r="K277" s="250"/>
      <c r="L277" s="244">
        <v>0</v>
      </c>
      <c r="M277" s="244">
        <f>SUM(D277:L277)</f>
        <v>36642.451572830862</v>
      </c>
    </row>
    <row r="279" spans="1:13" ht="15" x14ac:dyDescent="0.2">
      <c r="A279" s="410" t="s">
        <v>273</v>
      </c>
      <c r="B279" s="410"/>
      <c r="C279" s="410"/>
      <c r="D279" s="410"/>
      <c r="E279" s="410"/>
      <c r="F279" s="410"/>
      <c r="G279" s="410"/>
      <c r="H279" s="410"/>
      <c r="I279" s="410"/>
      <c r="J279" s="410"/>
      <c r="K279" s="410"/>
      <c r="L279" s="410"/>
      <c r="M279" s="410"/>
    </row>
    <row r="280" spans="1:13" ht="60" x14ac:dyDescent="0.2">
      <c r="A280" s="411" t="s">
        <v>89</v>
      </c>
      <c r="B280" s="411"/>
      <c r="C280" s="325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95" t="s">
        <v>200</v>
      </c>
      <c r="B281" s="395"/>
      <c r="C281" s="395"/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</row>
    <row r="282" spans="1:13" ht="15" x14ac:dyDescent="0.2">
      <c r="A282" s="292" t="s">
        <v>269</v>
      </c>
      <c r="B282" s="294"/>
      <c r="C282" s="294"/>
      <c r="D282" s="250">
        <f>D249</f>
        <v>404.27874257322412</v>
      </c>
      <c r="E282" s="250">
        <f t="shared" ref="E282:L282" si="73">E249</f>
        <v>158.72831396442959</v>
      </c>
      <c r="F282" s="250">
        <f t="shared" si="73"/>
        <v>439.72904986487174</v>
      </c>
      <c r="G282" s="250">
        <f t="shared" si="73"/>
        <v>225.3314542645164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1.8863854314845314</v>
      </c>
      <c r="L282" s="250">
        <f t="shared" si="73"/>
        <v>44.105573673745525</v>
      </c>
      <c r="M282" s="250">
        <f>SUM(D282:L282)</f>
        <v>1534.8502289095611</v>
      </c>
    </row>
    <row r="283" spans="1:13" ht="15" x14ac:dyDescent="0.2">
      <c r="A283" s="292" t="s">
        <v>270</v>
      </c>
      <c r="B283" s="294"/>
      <c r="C283" s="294"/>
      <c r="D283" s="250">
        <f>D250</f>
        <v>409.02498135881234</v>
      </c>
      <c r="E283" s="250">
        <f t="shared" ref="E283:L283" si="74">E250</f>
        <v>158.86170555792899</v>
      </c>
      <c r="F283" s="250">
        <f t="shared" si="74"/>
        <v>442.06920821298075</v>
      </c>
      <c r="G283" s="250">
        <f t="shared" si="74"/>
        <v>224.4365377419962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1.7656387637725963</v>
      </c>
      <c r="L283" s="250">
        <f t="shared" si="74"/>
        <v>43.430868637203226</v>
      </c>
      <c r="M283" s="250">
        <f>SUM(D283:L283)</f>
        <v>1544.967872024039</v>
      </c>
    </row>
    <row r="284" spans="1:13" ht="15" x14ac:dyDescent="0.2">
      <c r="A284" s="395" t="s">
        <v>201</v>
      </c>
      <c r="B284" s="395"/>
      <c r="C284" s="395"/>
      <c r="D284" s="395"/>
      <c r="E284" s="395"/>
      <c r="F284" s="395"/>
      <c r="G284" s="395"/>
      <c r="H284" s="395"/>
      <c r="I284" s="395"/>
      <c r="J284" s="395"/>
      <c r="K284" s="395"/>
      <c r="L284" s="395"/>
      <c r="M284" s="395"/>
    </row>
    <row r="285" spans="1:13" ht="15" x14ac:dyDescent="0.2">
      <c r="A285" s="425">
        <f>A243</f>
        <v>2013</v>
      </c>
      <c r="B285" s="425"/>
      <c r="C285" s="290"/>
      <c r="D285" s="255">
        <f>'Rate Class Energy Model'!H81/1000000</f>
        <v>0.61261594077418824</v>
      </c>
      <c r="E285" s="255">
        <f>'Rate Class Energy Model'!I81/1000000</f>
        <v>0.24052586779085339</v>
      </c>
      <c r="F285" s="255">
        <f>'Rate Class Energy Model'!J81/1000000</f>
        <v>0.43194560720712516</v>
      </c>
      <c r="G285" s="255">
        <f>'Rate Class Energy Model'!K81/1000000</f>
        <v>0.10546516741088316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1.3905525831830499</v>
      </c>
    </row>
    <row r="286" spans="1:13" ht="15" x14ac:dyDescent="0.2">
      <c r="A286" s="425">
        <f>A244</f>
        <v>2014</v>
      </c>
      <c r="B286" s="425"/>
      <c r="C286" s="294"/>
      <c r="D286" s="255">
        <f>'Rate Class Energy Model'!H82/1000000</f>
        <v>-4.0367700245860823</v>
      </c>
      <c r="E286" s="255">
        <f>'Rate Class Energy Model'!I82/1000000</f>
        <v>-1.5678459758630376</v>
      </c>
      <c r="F286" s="255">
        <f>'Rate Class Energy Model'!J82/1000000</f>
        <v>-2.8282054685934055</v>
      </c>
      <c r="G286" s="255">
        <f>'Rate Class Energy Model'!K82/1000000</f>
        <v>-0.68415983575750816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-9.116981304800035</v>
      </c>
    </row>
    <row r="287" spans="1:13" ht="15" customHeight="1" x14ac:dyDescent="0.2">
      <c r="A287" s="395" t="s">
        <v>202</v>
      </c>
      <c r="B287" s="395"/>
      <c r="C287" s="395"/>
      <c r="D287" s="395"/>
      <c r="E287" s="395"/>
      <c r="F287" s="395"/>
      <c r="G287" s="395"/>
      <c r="H287" s="395"/>
      <c r="I287" s="395"/>
      <c r="J287" s="395"/>
      <c r="K287" s="395"/>
      <c r="L287" s="395"/>
      <c r="M287" s="395"/>
    </row>
    <row r="288" spans="1:13" ht="15" x14ac:dyDescent="0.2">
      <c r="A288" s="425">
        <f>A285</f>
        <v>2013</v>
      </c>
      <c r="B288" s="425"/>
      <c r="C288" s="294"/>
      <c r="D288" s="255">
        <f>-'Rate Class Energy Model'!H85/1000000</f>
        <v>-1.7028175923365789</v>
      </c>
      <c r="E288" s="255">
        <f>-'Rate Class Energy Model'!I85/1000000</f>
        <v>-0.6685619028598806</v>
      </c>
      <c r="F288" s="255">
        <f>-'Rate Class Energy Model'!J85/1000000</f>
        <v>-1.8521338945634307</v>
      </c>
      <c r="G288" s="255">
        <f>-'Rate Class Energy Model'!K85/1000000</f>
        <v>-0.94909359316340314</v>
      </c>
      <c r="H288" s="255">
        <f>-'Rate Class Energy Model'!L85/1000000</f>
        <v>-0.8643078366292879</v>
      </c>
      <c r="I288" s="255">
        <f>-'Rate Class Energy Model'!M85/1000000</f>
        <v>-0.19340457824225146</v>
      </c>
      <c r="J288" s="255">
        <f>-'Rate Class Energy Model'!N85/1000000</f>
        <v>-4.0735167631452678E-2</v>
      </c>
      <c r="K288" s="255">
        <f>-'Rate Class Energy Model'!O85/1000000</f>
        <v>-7.9454345737149171E-3</v>
      </c>
      <c r="L288" s="255">
        <f>-'Rate Class Energy Model'!P85/1000000</f>
        <v>0</v>
      </c>
      <c r="M288" s="255">
        <f>SUM(D288:L288)</f>
        <v>-6.2790000000000008</v>
      </c>
    </row>
    <row r="289" spans="1:13" ht="15" x14ac:dyDescent="0.2">
      <c r="A289" s="425">
        <f>A286</f>
        <v>2014</v>
      </c>
      <c r="B289" s="425"/>
      <c r="C289" s="294"/>
      <c r="D289" s="255">
        <f>-'Rate Class Energy Model'!H86/1000000</f>
        <v>-4.3421228968406451</v>
      </c>
      <c r="E289" s="255">
        <f>-'Rate Class Energy Model'!I86/1000000</f>
        <v>-1.686442345997258</v>
      </c>
      <c r="F289" s="255">
        <f>-'Rate Class Energy Model'!J86/1000000</f>
        <v>-4.6929134367123719</v>
      </c>
      <c r="G289" s="255">
        <f>-'Rate Class Energy Model'!K86/1000000</f>
        <v>-2.3825709280144567</v>
      </c>
      <c r="H289" s="255">
        <f>-'Rate Class Energy Model'!L86/1000000</f>
        <v>-2.2218227659718557</v>
      </c>
      <c r="I289" s="255">
        <f>-'Rate Class Energy Model'!M86/1000000</f>
        <v>-0.49243858655112227</v>
      </c>
      <c r="J289" s="255">
        <f>-'Rate Class Energy Model'!N86/1000000</f>
        <v>-0.10294539135014692</v>
      </c>
      <c r="K289" s="255">
        <f>-'Rate Class Energy Model'!O86/1000000</f>
        <v>-1.8743648562142341E-2</v>
      </c>
      <c r="L289" s="255">
        <f>-'Rate Class Energy Model'!P86/1000000</f>
        <v>0</v>
      </c>
      <c r="M289" s="255">
        <f>SUM(D289:L289)</f>
        <v>-15.94</v>
      </c>
    </row>
    <row r="290" spans="1:13" ht="15" x14ac:dyDescent="0.2">
      <c r="A290" s="395" t="s">
        <v>203</v>
      </c>
      <c r="B290" s="395"/>
      <c r="C290" s="395"/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</row>
    <row r="291" spans="1:13" ht="15" x14ac:dyDescent="0.2">
      <c r="A291" s="292" t="s">
        <v>271</v>
      </c>
      <c r="B291" s="290"/>
      <c r="C291" s="290"/>
      <c r="D291" s="256">
        <f>D282+D285+D288</f>
        <v>403.18854092166168</v>
      </c>
      <c r="E291" s="256">
        <f t="shared" ref="E291:L291" si="75">E282+E285+E288</f>
        <v>158.30027792936056</v>
      </c>
      <c r="F291" s="256">
        <f t="shared" si="75"/>
        <v>438.30886157751542</v>
      </c>
      <c r="G291" s="256">
        <f t="shared" si="75"/>
        <v>224.48782583876385</v>
      </c>
      <c r="H291" s="256">
        <f t="shared" si="75"/>
        <v>204.33752174348558</v>
      </c>
      <c r="I291" s="256">
        <f t="shared" si="75"/>
        <v>45.724232197163616</v>
      </c>
      <c r="J291" s="256">
        <f t="shared" si="75"/>
        <v>9.63050761413683</v>
      </c>
      <c r="K291" s="256">
        <f t="shared" si="75"/>
        <v>1.8784399969108165</v>
      </c>
      <c r="L291" s="256">
        <f t="shared" si="75"/>
        <v>44.105573673745525</v>
      </c>
      <c r="M291" s="250">
        <f>SUM(D291:L291)</f>
        <v>1529.961781492744</v>
      </c>
    </row>
    <row r="292" spans="1:13" ht="15" x14ac:dyDescent="0.2">
      <c r="A292" s="292" t="s">
        <v>272</v>
      </c>
      <c r="B292" s="294"/>
      <c r="C292" s="294"/>
      <c r="D292" s="256">
        <f>D283+D286+D289</f>
        <v>400.64608843738563</v>
      </c>
      <c r="E292" s="256">
        <f t="shared" ref="E292:L292" si="76">E283+E286+E289</f>
        <v>155.6074172360687</v>
      </c>
      <c r="F292" s="256">
        <f t="shared" si="76"/>
        <v>434.54808930767496</v>
      </c>
      <c r="G292" s="256">
        <f t="shared" si="76"/>
        <v>221.36980697822426</v>
      </c>
      <c r="H292" s="256">
        <f t="shared" si="76"/>
        <v>207.07234900780676</v>
      </c>
      <c r="I292" s="256">
        <f t="shared" si="76"/>
        <v>45.894936545319709</v>
      </c>
      <c r="J292" s="256">
        <f t="shared" si="76"/>
        <v>9.5944394543452542</v>
      </c>
      <c r="K292" s="256">
        <f t="shared" si="76"/>
        <v>1.7468951152104539</v>
      </c>
      <c r="L292" s="256">
        <f t="shared" si="76"/>
        <v>43.430868637203226</v>
      </c>
      <c r="M292" s="250">
        <f>SUM(D292:L292)</f>
        <v>1519.910890719239</v>
      </c>
    </row>
    <row r="294" spans="1:13" ht="15" x14ac:dyDescent="0.2">
      <c r="A294" s="410" t="s">
        <v>274</v>
      </c>
      <c r="B294" s="410"/>
      <c r="C294" s="410"/>
      <c r="D294" s="410"/>
      <c r="E294" s="410"/>
      <c r="F294" s="410"/>
      <c r="G294" s="410"/>
      <c r="H294" s="410"/>
      <c r="I294" s="410"/>
      <c r="J294" s="410"/>
    </row>
    <row r="295" spans="1:13" ht="60" x14ac:dyDescent="0.2">
      <c r="A295" s="411" t="s">
        <v>89</v>
      </c>
      <c r="B295" s="411"/>
      <c r="C295" s="325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95" t="s">
        <v>204</v>
      </c>
      <c r="B296" s="395"/>
      <c r="C296" s="395"/>
      <c r="D296" s="395"/>
      <c r="E296" s="395"/>
      <c r="F296" s="395"/>
      <c r="G296" s="395"/>
      <c r="H296" s="395"/>
      <c r="I296" s="395"/>
      <c r="J296" s="395"/>
    </row>
    <row r="297" spans="1:13" ht="15" x14ac:dyDescent="0.2">
      <c r="A297" s="422">
        <f t="shared" ref="A297:A306" si="78">A228</f>
        <v>2003</v>
      </c>
      <c r="B297" s="423"/>
      <c r="C297" s="329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422">
        <f t="shared" si="78"/>
        <v>2004</v>
      </c>
      <c r="B298" s="423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422">
        <f t="shared" si="78"/>
        <v>2005</v>
      </c>
      <c r="B299" s="423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422">
        <f t="shared" si="78"/>
        <v>2006</v>
      </c>
      <c r="B300" s="423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422">
        <f t="shared" si="78"/>
        <v>2007</v>
      </c>
      <c r="B301" s="423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422">
        <f t="shared" si="78"/>
        <v>2008</v>
      </c>
      <c r="B302" s="423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422">
        <f t="shared" si="78"/>
        <v>2009</v>
      </c>
      <c r="B303" s="423"/>
      <c r="C303" s="192"/>
      <c r="D303" s="258">
        <f>'Rate Class Load Model'!B12</f>
        <v>1337289.3743672101</v>
      </c>
      <c r="E303" s="258">
        <f>'Rate Class Load Model'!C12</f>
        <v>530195.33860000002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</v>
      </c>
      <c r="J303" s="258">
        <f t="shared" si="79"/>
        <v>2486460.1460031625</v>
      </c>
      <c r="L303" s="215">
        <f>'Rate Class Load Model'!H12</f>
        <v>2486460.1460031625</v>
      </c>
    </row>
    <row r="304" spans="1:13" x14ac:dyDescent="0.2">
      <c r="A304" s="422">
        <f t="shared" si="78"/>
        <v>2010</v>
      </c>
      <c r="B304" s="423"/>
      <c r="C304" s="259"/>
      <c r="D304" s="258">
        <f>'Rate Class Load Model'!B13</f>
        <v>1294863.05220355</v>
      </c>
      <c r="E304" s="258">
        <f>'Rate Class Load Model'!C13</f>
        <v>570059.72519999999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26613.74</v>
      </c>
      <c r="I304" s="258">
        <f>'Rate Class Load Model'!G13</f>
        <v>101371.27183867899</v>
      </c>
      <c r="J304" s="258">
        <f t="shared" si="79"/>
        <v>2490272.3115422293</v>
      </c>
      <c r="L304" s="215">
        <f>'Rate Class Load Model'!H13</f>
        <v>2490272.3115422293</v>
      </c>
    </row>
    <row r="305" spans="1:12" x14ac:dyDescent="0.2">
      <c r="A305" s="422">
        <f t="shared" si="78"/>
        <v>2011</v>
      </c>
      <c r="B305" s="423"/>
      <c r="C305" s="259"/>
      <c r="D305" s="258">
        <f>'Rate Class Load Model'!B14</f>
        <v>1331831.0365679199</v>
      </c>
      <c r="E305" s="258">
        <f>'Rate Class Load Model'!C14</f>
        <v>582382.60674197297</v>
      </c>
      <c r="F305" s="258">
        <f>'Rate Class Load Model'!D14</f>
        <v>431698.8584427</v>
      </c>
      <c r="G305" s="258">
        <f>'Rate Class Load Model'!E14</f>
        <v>81847.960000000006</v>
      </c>
      <c r="H305" s="258">
        <f>'Rate Class Load Model'!F14</f>
        <v>26604.0272498757</v>
      </c>
      <c r="I305" s="258">
        <f>'Rate Class Load Model'!G14</f>
        <v>107151.213530009</v>
      </c>
      <c r="J305" s="258">
        <f t="shared" si="79"/>
        <v>2561515.7025324772</v>
      </c>
      <c r="L305" s="215">
        <f>'Rate Class Load Model'!H14</f>
        <v>2561515.7025324772</v>
      </c>
    </row>
    <row r="306" spans="1:12" x14ac:dyDescent="0.2">
      <c r="A306" s="422">
        <f t="shared" si="78"/>
        <v>2012</v>
      </c>
      <c r="B306" s="423"/>
      <c r="C306" s="259"/>
      <c r="D306" s="258">
        <f>'Rate Class Load Model'!B15</f>
        <v>1350651.40979942</v>
      </c>
      <c r="E306" s="258">
        <f>'Rate Class Load Model'!C15</f>
        <v>527946.71947526897</v>
      </c>
      <c r="F306" s="258">
        <f>'Rate Class Load Model'!D15</f>
        <v>483777.43670654303</v>
      </c>
      <c r="G306" s="258">
        <f>'Rate Class Load Model'!E15</f>
        <v>81650.759999999995</v>
      </c>
      <c r="H306" s="258">
        <f>'Rate Class Load Model'!F15</f>
        <v>26876.1599016972</v>
      </c>
      <c r="I306" s="258">
        <f>'Rate Class Load Model'!G15</f>
        <v>100035.046333313</v>
      </c>
      <c r="J306" s="258">
        <f t="shared" ref="J306" si="80">SUM(D306:I306)</f>
        <v>2570937.532216242</v>
      </c>
      <c r="L306" s="215">
        <f>'Rate Class Load Model'!H15</f>
        <v>2570937.532216242</v>
      </c>
    </row>
    <row r="308" spans="1:12" ht="15" x14ac:dyDescent="0.2">
      <c r="A308" s="429" t="s">
        <v>276</v>
      </c>
      <c r="B308" s="430"/>
      <c r="C308" s="430"/>
      <c r="D308" s="430"/>
      <c r="E308" s="430"/>
      <c r="F308" s="430"/>
      <c r="G308" s="430"/>
      <c r="H308" s="430"/>
      <c r="I308" s="430"/>
      <c r="J308" s="330"/>
    </row>
    <row r="309" spans="1:12" ht="60" x14ac:dyDescent="0.2">
      <c r="A309" s="389" t="s">
        <v>89</v>
      </c>
      <c r="B309" s="390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205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412">
        <f t="shared" ref="A311:A320" si="82">A297</f>
        <v>2003</v>
      </c>
      <c r="B311" s="412"/>
      <c r="C311" s="249"/>
      <c r="D311" s="331">
        <f>'Rate Class Load Model'!B24</f>
        <v>2.6168765453389838E-3</v>
      </c>
      <c r="E311" s="331">
        <f>'Rate Class Load Model'!C24</f>
        <v>2.0261587936549882E-3</v>
      </c>
      <c r="F311" s="331">
        <f>'Rate Class Load Model'!D24</f>
        <v>1.8290986807808411E-3</v>
      </c>
      <c r="G311" s="331"/>
      <c r="H311" s="331">
        <f>'Rate Class Load Model'!F24</f>
        <v>2.8189864799764001E-3</v>
      </c>
      <c r="I311" s="331"/>
    </row>
    <row r="312" spans="1:12" x14ac:dyDescent="0.2">
      <c r="A312" s="412">
        <f t="shared" si="82"/>
        <v>2004</v>
      </c>
      <c r="B312" s="412"/>
      <c r="C312" s="294"/>
      <c r="D312" s="331">
        <f>'Rate Class Load Model'!B25</f>
        <v>2.6359680305252189E-3</v>
      </c>
      <c r="E312" s="331">
        <f>'Rate Class Load Model'!C25</f>
        <v>2.0127118184873455E-3</v>
      </c>
      <c r="F312" s="331">
        <f>'Rate Class Load Model'!D25</f>
        <v>1.9113859575333133E-3</v>
      </c>
      <c r="G312" s="331"/>
      <c r="H312" s="331">
        <f>'Rate Class Load Model'!F25</f>
        <v>2.5737538794872931E-3</v>
      </c>
      <c r="I312" s="331"/>
    </row>
    <row r="313" spans="1:12" x14ac:dyDescent="0.2">
      <c r="A313" s="412">
        <f t="shared" si="82"/>
        <v>2005</v>
      </c>
      <c r="B313" s="412"/>
      <c r="C313" s="294"/>
      <c r="D313" s="331">
        <f>'Rate Class Load Model'!B26</f>
        <v>2.6691210062984149E-3</v>
      </c>
      <c r="E313" s="331">
        <f>'Rate Class Load Model'!C26</f>
        <v>2.1441970714009646E-3</v>
      </c>
      <c r="F313" s="331">
        <f>'Rate Class Load Model'!D26</f>
        <v>1.8755496366105252E-3</v>
      </c>
      <c r="G313" s="331"/>
      <c r="H313" s="331">
        <f>'Rate Class Load Model'!F26</f>
        <v>2.5848435489247592E-3</v>
      </c>
      <c r="I313" s="331"/>
    </row>
    <row r="314" spans="1:12" x14ac:dyDescent="0.2">
      <c r="A314" s="412">
        <f t="shared" si="82"/>
        <v>2006</v>
      </c>
      <c r="B314" s="412"/>
      <c r="C314" s="294"/>
      <c r="D314" s="331">
        <f>'Rate Class Load Model'!B27</f>
        <v>2.7986266930352488E-3</v>
      </c>
      <c r="E314" s="331">
        <f>'Rate Class Load Model'!C27</f>
        <v>2.4903143165170842E-3</v>
      </c>
      <c r="F314" s="331">
        <f>'Rate Class Load Model'!D27</f>
        <v>1.8756429898945824E-3</v>
      </c>
      <c r="G314" s="331">
        <f>'Rate Class Load Model'!E27</f>
        <v>1.7175247858142429E-3</v>
      </c>
      <c r="H314" s="331">
        <f>'Rate Class Load Model'!F27</f>
        <v>2.581350540366205E-3</v>
      </c>
      <c r="I314" s="331"/>
    </row>
    <row r="315" spans="1:12" x14ac:dyDescent="0.2">
      <c r="A315" s="412">
        <f t="shared" si="82"/>
        <v>2007</v>
      </c>
      <c r="B315" s="412"/>
      <c r="C315" s="294"/>
      <c r="D315" s="331">
        <f>'Rate Class Load Model'!B28</f>
        <v>2.7062601827898521E-3</v>
      </c>
      <c r="E315" s="331">
        <f>'Rate Class Load Model'!C28</f>
        <v>2.5176058497532483E-3</v>
      </c>
      <c r="F315" s="331">
        <f>'Rate Class Load Model'!D28</f>
        <v>1.9100500388182851E-3</v>
      </c>
      <c r="G315" s="331">
        <f>'Rate Class Load Model'!E28</f>
        <v>1.7047063019203341E-3</v>
      </c>
      <c r="H315" s="331">
        <f>'Rate Class Load Model'!F28</f>
        <v>2.5608843096378443E-3</v>
      </c>
      <c r="I315" s="331"/>
    </row>
    <row r="316" spans="1:12" x14ac:dyDescent="0.2">
      <c r="A316" s="412">
        <f t="shared" si="82"/>
        <v>2008</v>
      </c>
      <c r="B316" s="412"/>
      <c r="C316" s="294"/>
      <c r="D316" s="331">
        <f>'Rate Class Load Model'!B29</f>
        <v>2.7281622913876355E-3</v>
      </c>
      <c r="E316" s="331">
        <f>'Rate Class Load Model'!C29</f>
        <v>2.5160208661421271E-3</v>
      </c>
      <c r="F316" s="331">
        <f>'Rate Class Load Model'!D29</f>
        <v>1.9385686143000424E-3</v>
      </c>
      <c r="G316" s="331">
        <f>'Rate Class Load Model'!E29</f>
        <v>1.6881727128795095E-3</v>
      </c>
      <c r="H316" s="331">
        <f>'Rate Class Load Model'!F29</f>
        <v>2.549505823065918E-3</v>
      </c>
      <c r="I316" s="331"/>
    </row>
    <row r="317" spans="1:12" x14ac:dyDescent="0.2">
      <c r="A317" s="412">
        <f t="shared" si="82"/>
        <v>2009</v>
      </c>
      <c r="B317" s="412"/>
      <c r="C317" s="294"/>
      <c r="D317" s="331">
        <f>'Rate Class Load Model'!B30</f>
        <v>3.0922704816440912E-3</v>
      </c>
      <c r="E317" s="331">
        <f>'Rate Class Load Model'!C30</f>
        <v>2.7470878847799282E-3</v>
      </c>
      <c r="F317" s="331">
        <f>'Rate Class Load Model'!D30</f>
        <v>2.2797105045900515E-3</v>
      </c>
      <c r="G317" s="331">
        <f>'Rate Class Load Model'!E30</f>
        <v>1.6904243776613866E-3</v>
      </c>
      <c r="H317" s="331">
        <f>'Rate Class Load Model'!F30</f>
        <v>2.792943959123266E-3</v>
      </c>
      <c r="I317" s="331">
        <f>'Rate Class Load Model'!G30</f>
        <v>1.9824205379008566E-3</v>
      </c>
    </row>
    <row r="318" spans="1:12" x14ac:dyDescent="0.2">
      <c r="A318" s="412">
        <f t="shared" si="82"/>
        <v>2010</v>
      </c>
      <c r="B318" s="412"/>
      <c r="C318" s="294"/>
      <c r="D318" s="331">
        <f>'Rate Class Load Model'!B31</f>
        <v>3.0359233091886767E-3</v>
      </c>
      <c r="E318" s="331">
        <f>'Rate Class Load Model'!C31</f>
        <v>2.5804170810664125E-3</v>
      </c>
      <c r="F318" s="331">
        <f>'Rate Class Load Model'!D31</f>
        <v>2.1440890969027598E-3</v>
      </c>
      <c r="G318" s="331">
        <f>'Rate Class Load Model'!E31</f>
        <v>1.7336493260294912E-3</v>
      </c>
      <c r="H318" s="331">
        <f>'Rate Class Load Model'!F31</f>
        <v>2.7957941257440964E-3</v>
      </c>
      <c r="I318" s="331">
        <f>'Rate Class Load Model'!G31</f>
        <v>2.0351251915705984E-3</v>
      </c>
    </row>
    <row r="319" spans="1:12" x14ac:dyDescent="0.2">
      <c r="A319" s="412">
        <f t="shared" si="82"/>
        <v>2011</v>
      </c>
      <c r="B319" s="412"/>
      <c r="C319" s="294"/>
      <c r="D319" s="331">
        <f>'Rate Class Load Model'!B32</f>
        <v>3.0465595507390346E-3</v>
      </c>
      <c r="E319" s="331">
        <f>'Rate Class Load Model'!C32</f>
        <v>2.418862151948988E-3</v>
      </c>
      <c r="F319" s="331">
        <f>'Rate Class Load Model'!D32</f>
        <v>2.5514750245168526E-3</v>
      </c>
      <c r="G319" s="331">
        <f>'Rate Class Load Model'!E32</f>
        <v>1.7506184180007566E-3</v>
      </c>
      <c r="H319" s="331">
        <f>'Rate Class Load Model'!F32</f>
        <v>2.7946917100768686E-3</v>
      </c>
      <c r="I319" s="331">
        <f>'Rate Class Load Model'!G32</f>
        <v>2.0900830966685551E-3</v>
      </c>
    </row>
    <row r="320" spans="1:12" x14ac:dyDescent="0.2">
      <c r="A320" s="412">
        <f t="shared" si="82"/>
        <v>2012</v>
      </c>
      <c r="B320" s="412"/>
      <c r="C320" s="294"/>
      <c r="D320" s="331">
        <f>'Rate Class Load Model'!B33</f>
        <v>3.0878999974056449E-3</v>
      </c>
      <c r="E320" s="331">
        <f>'Rate Class Load Model'!C33</f>
        <v>2.3336730824025571E-3</v>
      </c>
      <c r="F320" s="331">
        <f>'Rate Class Load Model'!D33</f>
        <v>2.4045858465408946E-3</v>
      </c>
      <c r="G320" s="331">
        <f>'Rate Class Load Model'!E33</f>
        <v>1.796391424410425E-3</v>
      </c>
      <c r="H320" s="331">
        <f>'Rate Class Load Model'!F33</f>
        <v>2.7864886344530428E-3</v>
      </c>
      <c r="I320" s="331">
        <f>'Rate Class Load Model'!G33</f>
        <v>2.2333857595393069E-3</v>
      </c>
    </row>
    <row r="321" spans="1:12" ht="15" x14ac:dyDescent="0.2">
      <c r="A321" s="395" t="s">
        <v>275</v>
      </c>
      <c r="B321" s="395"/>
      <c r="C321" s="292"/>
      <c r="D321" s="260">
        <f>'Rate Class Load Model'!B35</f>
        <v>2.8417668088352803E-3</v>
      </c>
      <c r="E321" s="260">
        <f>'Rate Class Load Model'!C35</f>
        <v>2.3787048916153646E-3</v>
      </c>
      <c r="F321" s="260">
        <f>'Rate Class Load Model'!D35</f>
        <v>2.0720156390488147E-3</v>
      </c>
      <c r="G321" s="260">
        <f>'Rate Class Load Model'!E35</f>
        <v>1.7259267638165922E-3</v>
      </c>
      <c r="H321" s="260">
        <f>'Rate Class Load Model'!F35</f>
        <v>2.6839243010855695E-3</v>
      </c>
      <c r="I321" s="260">
        <f>'Rate Class Load Model'!G35</f>
        <v>2.0852536464198291E-3</v>
      </c>
    </row>
    <row r="323" spans="1:12" ht="15" x14ac:dyDescent="0.2">
      <c r="A323" s="410" t="s">
        <v>277</v>
      </c>
      <c r="B323" s="410"/>
      <c r="C323" s="410"/>
      <c r="D323" s="410"/>
      <c r="E323" s="410"/>
      <c r="F323" s="410"/>
      <c r="G323" s="410"/>
      <c r="H323" s="410"/>
      <c r="I323" s="410"/>
      <c r="J323" s="410"/>
    </row>
    <row r="324" spans="1:12" ht="60" x14ac:dyDescent="0.2">
      <c r="A324" s="424" t="s">
        <v>89</v>
      </c>
      <c r="B324" s="424"/>
      <c r="C324" s="325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2" t="s">
        <v>206</v>
      </c>
      <c r="B325" s="292"/>
      <c r="C325" s="292"/>
      <c r="D325" s="292"/>
      <c r="E325" s="292"/>
      <c r="F325" s="210"/>
      <c r="G325" s="210"/>
      <c r="H325" s="210"/>
      <c r="I325" s="210"/>
      <c r="J325" s="210"/>
    </row>
    <row r="326" spans="1:12" ht="15" x14ac:dyDescent="0.2">
      <c r="A326" s="292" t="s">
        <v>271</v>
      </c>
      <c r="B326" s="294"/>
      <c r="C326" s="294"/>
      <c r="D326" s="243">
        <f>D321*F291*1000000</f>
        <v>1245571.5748493606</v>
      </c>
      <c r="E326" s="243">
        <f t="shared" ref="E326:H326" si="84">E321*G291*1000000</f>
        <v>533990.28943076567</v>
      </c>
      <c r="F326" s="243">
        <f t="shared" si="84"/>
        <v>423390.54069697933</v>
      </c>
      <c r="G326" s="243">
        <f t="shared" si="84"/>
        <v>78916.676104049024</v>
      </c>
      <c r="H326" s="243">
        <f t="shared" si="84"/>
        <v>25847.553417371448</v>
      </c>
      <c r="I326" s="243">
        <f>I321*L291*1000000</f>
        <v>91971.308330616273</v>
      </c>
      <c r="J326" s="243">
        <f>SUM(D326:I326)</f>
        <v>2399687.9428291428</v>
      </c>
      <c r="L326" s="215">
        <f>'Rate Class Load Model'!H16</f>
        <v>2399687.9428291428</v>
      </c>
    </row>
    <row r="327" spans="1:12" ht="15" x14ac:dyDescent="0.2">
      <c r="A327" s="292" t="s">
        <v>272</v>
      </c>
      <c r="B327" s="294"/>
      <c r="C327" s="294"/>
      <c r="D327" s="243">
        <f>D321*F292*1000000</f>
        <v>1234884.3370373398</v>
      </c>
      <c r="E327" s="243">
        <f t="shared" ref="E327:H327" si="85">E321*G292*1000000</f>
        <v>526573.44271505112</v>
      </c>
      <c r="F327" s="243">
        <f t="shared" si="85"/>
        <v>429057.14555874991</v>
      </c>
      <c r="G327" s="243">
        <f t="shared" si="85"/>
        <v>79211.2993072315</v>
      </c>
      <c r="H327" s="243">
        <f t="shared" si="85"/>
        <v>25750.749206811401</v>
      </c>
      <c r="I327" s="243">
        <f>I321*L292*1000000</f>
        <v>90564.377192908622</v>
      </c>
      <c r="J327" s="243">
        <f>SUM(D327:I327)</f>
        <v>2386041.3510180917</v>
      </c>
      <c r="L327" s="215">
        <f>'Rate Class Load Model'!H17</f>
        <v>2386041.3510180917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92" t="s">
        <v>278</v>
      </c>
      <c r="B329" s="393"/>
      <c r="C329" s="393"/>
      <c r="D329" s="393"/>
      <c r="E329" s="393"/>
      <c r="F329" s="393"/>
      <c r="G329" s="393"/>
      <c r="H329" s="393"/>
      <c r="I329" s="394"/>
    </row>
    <row r="330" spans="1:12" ht="60" x14ac:dyDescent="0.2">
      <c r="A330" s="436"/>
      <c r="B330" s="437"/>
      <c r="C330" s="325"/>
      <c r="D330" s="332" t="s">
        <v>212</v>
      </c>
      <c r="E330" s="332" t="s">
        <v>107</v>
      </c>
      <c r="F330" s="332" t="s">
        <v>103</v>
      </c>
      <c r="G330" s="332" t="s">
        <v>102</v>
      </c>
      <c r="H330" s="274" t="s">
        <v>279</v>
      </c>
      <c r="I330" s="274" t="s">
        <v>280</v>
      </c>
    </row>
    <row r="331" spans="1:12" x14ac:dyDescent="0.2">
      <c r="A331" s="400"/>
      <c r="B331" s="402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84" t="s">
        <v>207</v>
      </c>
      <c r="B332" s="385"/>
      <c r="C332" s="385"/>
      <c r="D332" s="385"/>
      <c r="E332" s="385"/>
      <c r="F332" s="385"/>
      <c r="G332" s="385"/>
      <c r="H332" s="385"/>
      <c r="I332" s="386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1492411339.98773</v>
      </c>
      <c r="F334" s="214">
        <f>Summary!L5</f>
        <v>1537757751.8746831</v>
      </c>
      <c r="G334" s="214">
        <f>Summary!M5</f>
        <v>1511521114.71822</v>
      </c>
      <c r="H334" s="214">
        <f>Summary!N5</f>
        <v>1552349298.4519138</v>
      </c>
      <c r="I334" s="214">
        <f>Summary!O5</f>
        <v>1552440957.9431405</v>
      </c>
    </row>
    <row r="335" spans="1:12" ht="15" customHeight="1" x14ac:dyDescent="0.2">
      <c r="A335" s="444" t="s">
        <v>208</v>
      </c>
      <c r="B335" s="445"/>
      <c r="C335" s="445"/>
      <c r="D335" s="446"/>
      <c r="E335" s="263">
        <f>E334/E333-1</f>
        <v>-1.3715808501591487E-2</v>
      </c>
      <c r="F335" s="263">
        <f>F334/F333-1</f>
        <v>1.2056081841488542E-2</v>
      </c>
      <c r="G335" s="263">
        <f>G334/G333-1</f>
        <v>-9.871811278848619E-3</v>
      </c>
      <c r="H335" s="261"/>
      <c r="I335" s="210"/>
    </row>
    <row r="336" spans="1:12" x14ac:dyDescent="0.2">
      <c r="A336" s="431" t="s">
        <v>215</v>
      </c>
      <c r="B336" s="447"/>
      <c r="C336" s="447"/>
      <c r="D336" s="432"/>
      <c r="E336" s="263"/>
      <c r="F336" s="263"/>
      <c r="G336" s="263"/>
      <c r="H336" s="333">
        <f>Summary!N7</f>
        <v>-6476783.4953219099</v>
      </c>
      <c r="I336" s="333">
        <f>Summary!O7</f>
        <v>-16442097.295020105</v>
      </c>
    </row>
    <row r="337" spans="1:11" x14ac:dyDescent="0.2">
      <c r="A337" s="431" t="s">
        <v>216</v>
      </c>
      <c r="B337" s="447"/>
      <c r="C337" s="447"/>
      <c r="D337" s="432"/>
      <c r="E337" s="263"/>
      <c r="F337" s="263"/>
      <c r="G337" s="263"/>
      <c r="H337" s="265">
        <f>SUM(H334:H336)</f>
        <v>1545872514.9565918</v>
      </c>
      <c r="I337" s="265">
        <f>SUM(I334:I336)</f>
        <v>1535998860.6481204</v>
      </c>
    </row>
    <row r="338" spans="1:11" ht="12.75" customHeight="1" x14ac:dyDescent="0.2">
      <c r="A338" s="400"/>
      <c r="B338" s="402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84" t="s">
        <v>209</v>
      </c>
      <c r="B339" s="385"/>
      <c r="C339" s="385"/>
      <c r="D339" s="385"/>
      <c r="E339" s="385"/>
      <c r="F339" s="385"/>
      <c r="G339" s="385"/>
      <c r="H339" s="385"/>
      <c r="I339" s="386"/>
    </row>
    <row r="340" spans="1:11" x14ac:dyDescent="0.2">
      <c r="A340" s="264" t="s">
        <v>210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422" t="s">
        <v>59</v>
      </c>
      <c r="B342" s="433"/>
      <c r="C342" s="238"/>
      <c r="D342" s="214">
        <f>D27*1000000</f>
        <v>389793819</v>
      </c>
      <c r="E342" s="214">
        <f>Summary!K17</f>
        <v>396266835.39498103</v>
      </c>
      <c r="F342" s="214">
        <f>Summary!L17</f>
        <v>396556720.36740702</v>
      </c>
      <c r="G342" s="214">
        <f>Summary!M17</f>
        <v>399587578.131836</v>
      </c>
      <c r="H342" s="214">
        <f>Summary!N17</f>
        <v>403188540.92166173</v>
      </c>
      <c r="I342" s="214">
        <f>Summary!O17</f>
        <v>400646088.43738562</v>
      </c>
    </row>
    <row r="343" spans="1:11" x14ac:dyDescent="0.2">
      <c r="A343" s="400"/>
      <c r="B343" s="402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34" t="str">
        <f>E280</f>
        <v>General Service &lt; 50 kW</v>
      </c>
      <c r="B344" s="435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422" t="s">
        <v>59</v>
      </c>
      <c r="B346" s="433"/>
      <c r="C346" s="238"/>
      <c r="D346" s="214">
        <f>E27*1000000</f>
        <v>168223630</v>
      </c>
      <c r="E346" s="214">
        <f>Summary!K21</f>
        <v>163479892.81864899</v>
      </c>
      <c r="F346" s="214">
        <f>Summary!L21</f>
        <v>158322069.24360299</v>
      </c>
      <c r="G346" s="214">
        <f>Summary!M21</f>
        <v>158595034.37600499</v>
      </c>
      <c r="H346" s="214">
        <f>Summary!N21</f>
        <v>158300277.92936057</v>
      </c>
      <c r="I346" s="214">
        <f>Summary!O21</f>
        <v>155607417.2360687</v>
      </c>
    </row>
    <row r="347" spans="1:11" x14ac:dyDescent="0.2">
      <c r="A347" s="400"/>
      <c r="B347" s="402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34" t="str">
        <f>Summary!A23</f>
        <v>General Service &gt; 50 to 999 kW</v>
      </c>
      <c r="B348" s="435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422" t="s">
        <v>59</v>
      </c>
      <c r="B350" s="433"/>
      <c r="C350" s="238"/>
      <c r="D350" s="214">
        <f>F27*1000000</f>
        <v>494496789</v>
      </c>
      <c r="E350" s="214">
        <f>Summary!K25</f>
        <v>426513755.56307799</v>
      </c>
      <c r="F350" s="214">
        <f>Summary!L25</f>
        <v>437159036.082142</v>
      </c>
      <c r="G350" s="214">
        <f>Summary!M25</f>
        <v>437401279.48903602</v>
      </c>
      <c r="H350" s="214">
        <f>Summary!N25</f>
        <v>438308861.57751542</v>
      </c>
      <c r="I350" s="214">
        <f>Summary!O25</f>
        <v>434548089.30767494</v>
      </c>
    </row>
    <row r="351" spans="1:11" x14ac:dyDescent="0.2">
      <c r="A351" s="422" t="s">
        <v>60</v>
      </c>
      <c r="B351" s="433"/>
      <c r="C351" s="238"/>
      <c r="D351" s="214">
        <v>1312686</v>
      </c>
      <c r="E351" s="214">
        <f>Summary!K26</f>
        <v>1294863.05220355</v>
      </c>
      <c r="F351" s="214">
        <f>Summary!L26</f>
        <v>1331831.0365679199</v>
      </c>
      <c r="G351" s="214">
        <f>Summary!M26</f>
        <v>1350651.40979942</v>
      </c>
      <c r="H351" s="214">
        <f>Summary!N26</f>
        <v>1245571.5748493606</v>
      </c>
      <c r="I351" s="214">
        <f>Summary!O26</f>
        <v>1234884.3370373398</v>
      </c>
    </row>
    <row r="352" spans="1:11" x14ac:dyDescent="0.2">
      <c r="A352" s="400"/>
      <c r="B352" s="402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34" t="str">
        <f>Summary!A28</f>
        <v>General Service &gt; 1000 to 4999 kW</v>
      </c>
      <c r="B353" s="435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422" t="s">
        <v>59</v>
      </c>
      <c r="B355" s="433"/>
      <c r="C355" s="238"/>
      <c r="D355" s="214">
        <f>G27*1000000</f>
        <v>215965446</v>
      </c>
      <c r="E355" s="214">
        <f>Summary!K30</f>
        <v>220917668.45862401</v>
      </c>
      <c r="F355" s="214">
        <f>Summary!L30</f>
        <v>240767174.87713</v>
      </c>
      <c r="G355" s="214">
        <f>Summary!M30</f>
        <v>226229939.170288</v>
      </c>
      <c r="H355" s="214">
        <f>Summary!N30</f>
        <v>224487825.83876389</v>
      </c>
      <c r="I355" s="214">
        <f>Summary!O30</f>
        <v>221369806.97822428</v>
      </c>
    </row>
    <row r="356" spans="1:9" x14ac:dyDescent="0.2">
      <c r="A356" s="422" t="s">
        <v>60</v>
      </c>
      <c r="B356" s="433"/>
      <c r="C356" s="238"/>
      <c r="D356" s="214">
        <v>478860</v>
      </c>
      <c r="E356" s="214">
        <f>Summary!K31</f>
        <v>570059.72519999999</v>
      </c>
      <c r="F356" s="214">
        <f>Summary!L31</f>
        <v>582382.60674197297</v>
      </c>
      <c r="G356" s="214">
        <f>Summary!M31</f>
        <v>527946.71947526897</v>
      </c>
      <c r="H356" s="214">
        <f>Summary!N31</f>
        <v>533990.28943076567</v>
      </c>
      <c r="I356" s="214">
        <f>Summary!O31</f>
        <v>526573.44271505112</v>
      </c>
    </row>
    <row r="357" spans="1:9" x14ac:dyDescent="0.2">
      <c r="A357" s="400"/>
      <c r="B357" s="402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34" t="str">
        <f>Summary!A33</f>
        <v>Large User</v>
      </c>
      <c r="B358" s="435"/>
      <c r="C358" s="294"/>
      <c r="D358" s="214"/>
      <c r="E358" s="214"/>
      <c r="F358" s="214"/>
      <c r="G358" s="214"/>
      <c r="H358" s="214"/>
      <c r="I358" s="210"/>
    </row>
    <row r="359" spans="1:9" x14ac:dyDescent="0.2">
      <c r="A359" s="294" t="str">
        <f>A354</f>
        <v xml:space="preserve">  Customers</v>
      </c>
      <c r="B359" s="294"/>
      <c r="C359" s="294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422" t="s">
        <v>59</v>
      </c>
      <c r="B360" s="433"/>
      <c r="C360" s="294"/>
      <c r="D360" s="214">
        <f>H27*1000000</f>
        <v>159305102</v>
      </c>
      <c r="E360" s="214">
        <f>Summary!K35</f>
        <v>196557280.622706</v>
      </c>
      <c r="F360" s="214">
        <f>Summary!L35</f>
        <v>169195800.19187</v>
      </c>
      <c r="G360" s="214">
        <f>Summary!M35</f>
        <v>201189505.21250001</v>
      </c>
      <c r="H360" s="214">
        <f>Summary!N35</f>
        <v>204337521.74348557</v>
      </c>
      <c r="I360" s="214">
        <f>Summary!O35</f>
        <v>207072349.00780675</v>
      </c>
    </row>
    <row r="361" spans="1:9" x14ac:dyDescent="0.2">
      <c r="A361" s="422" t="s">
        <v>60</v>
      </c>
      <c r="B361" s="433"/>
      <c r="C361" s="294"/>
      <c r="D361" s="214">
        <v>308824</v>
      </c>
      <c r="E361" s="214">
        <f>Summary!K36</f>
        <v>421436.3223</v>
      </c>
      <c r="F361" s="214">
        <f>Summary!L36</f>
        <v>431698.8584427</v>
      </c>
      <c r="G361" s="214">
        <f>Summary!M36</f>
        <v>483777.43670654303</v>
      </c>
      <c r="H361" s="214">
        <f>Summary!N36</f>
        <v>423390.54069697933</v>
      </c>
      <c r="I361" s="214">
        <f>Summary!O36</f>
        <v>429057.14555874991</v>
      </c>
    </row>
    <row r="362" spans="1:9" x14ac:dyDescent="0.2">
      <c r="A362" s="400"/>
      <c r="B362" s="402"/>
      <c r="C362" s="294"/>
      <c r="D362" s="214"/>
      <c r="E362" s="214"/>
      <c r="F362" s="214"/>
      <c r="G362" s="214"/>
      <c r="H362" s="214"/>
      <c r="I362" s="210"/>
    </row>
    <row r="363" spans="1:9" x14ac:dyDescent="0.2">
      <c r="A363" s="434" t="str">
        <f>Summary!A38</f>
        <v>Direct Market Participant</v>
      </c>
      <c r="B363" s="435"/>
      <c r="C363" s="294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4" t="str">
        <f>A359</f>
        <v xml:space="preserve">  Customers</v>
      </c>
      <c r="B364" s="294"/>
      <c r="C364" s="294"/>
      <c r="D364" s="214"/>
      <c r="E364" s="214">
        <f>Summary!K40</f>
        <v>43796746.469999999</v>
      </c>
      <c r="F364" s="214">
        <f>Summary!L40</f>
        <v>46753740.939999998</v>
      </c>
      <c r="G364" s="214">
        <f>Summary!M40</f>
        <v>45452655.189999998</v>
      </c>
      <c r="H364" s="214">
        <f>Summary!N40</f>
        <v>45724232.197163619</v>
      </c>
      <c r="I364" s="214">
        <f>Summary!O40</f>
        <v>45894936.545319714</v>
      </c>
    </row>
    <row r="365" spans="1:9" x14ac:dyDescent="0.2">
      <c r="A365" s="422" t="s">
        <v>59</v>
      </c>
      <c r="B365" s="433"/>
      <c r="C365" s="294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78916.676104049038</v>
      </c>
      <c r="I365" s="214">
        <f>Summary!O41</f>
        <v>79211.2993072315</v>
      </c>
    </row>
    <row r="366" spans="1:9" x14ac:dyDescent="0.2">
      <c r="A366" s="422" t="s">
        <v>60</v>
      </c>
      <c r="B366" s="433"/>
      <c r="C366" s="294"/>
      <c r="D366" s="214"/>
      <c r="E366" s="214"/>
      <c r="F366" s="214"/>
      <c r="G366" s="214"/>
      <c r="H366" s="214"/>
      <c r="I366" s="210"/>
    </row>
    <row r="367" spans="1:9" x14ac:dyDescent="0.2">
      <c r="A367" s="400"/>
      <c r="B367" s="402"/>
      <c r="C367" s="294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422" t="s">
        <v>59</v>
      </c>
      <c r="B370" s="433"/>
      <c r="C370" s="238"/>
      <c r="D370" s="214">
        <f>J27*1000000</f>
        <v>9470257</v>
      </c>
      <c r="E370" s="214">
        <f>Summary!K45</f>
        <v>9519205.9225450996</v>
      </c>
      <c r="F370" s="214">
        <f>Summary!L45</f>
        <v>9519485.5138937496</v>
      </c>
      <c r="G370" s="214">
        <f>Summary!M45</f>
        <v>9645171.1912231408</v>
      </c>
      <c r="H370" s="214">
        <f>Summary!N45</f>
        <v>9630507.6141368318</v>
      </c>
      <c r="I370" s="214">
        <f>Summary!O45</f>
        <v>9594439.4543452542</v>
      </c>
    </row>
    <row r="371" spans="1:9" x14ac:dyDescent="0.2">
      <c r="A371" s="422" t="s">
        <v>60</v>
      </c>
      <c r="B371" s="433"/>
      <c r="C371" s="238"/>
      <c r="D371" s="214">
        <v>24144</v>
      </c>
      <c r="E371" s="214">
        <f>Summary!K46</f>
        <v>26613.74</v>
      </c>
      <c r="F371" s="214">
        <f>Summary!L46</f>
        <v>26604.0272498757</v>
      </c>
      <c r="G371" s="214">
        <f>Summary!M46</f>
        <v>26876.1599016972</v>
      </c>
      <c r="H371" s="214">
        <f>Summary!N46</f>
        <v>25847.553417371451</v>
      </c>
      <c r="I371" s="214">
        <f>Summary!O46</f>
        <v>25750.749206811401</v>
      </c>
    </row>
    <row r="372" spans="1:9" x14ac:dyDescent="0.2">
      <c r="A372" s="400"/>
      <c r="B372" s="402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34" t="str">
        <f>Summary!A48</f>
        <v xml:space="preserve">Unmetered Loads </v>
      </c>
      <c r="B373" s="435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422" t="s">
        <v>59</v>
      </c>
      <c r="B375" s="433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2067610.5874618399</v>
      </c>
      <c r="G375" s="214">
        <f>Summary!M50</f>
        <v>2015389.59674505</v>
      </c>
      <c r="H375" s="214">
        <f>Summary!N50</f>
        <v>1878439.9969108163</v>
      </c>
      <c r="I375" s="214">
        <f>Summary!O50</f>
        <v>1746895.1152104537</v>
      </c>
    </row>
    <row r="376" spans="1:9" x14ac:dyDescent="0.2">
      <c r="A376" s="400"/>
      <c r="B376" s="402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34" t="str">
        <f>Summary!A52</f>
        <v>Embedded Distributor</v>
      </c>
      <c r="B377" s="435"/>
      <c r="C377" s="294"/>
      <c r="D377" s="214"/>
      <c r="E377" s="214"/>
      <c r="F377" s="214"/>
      <c r="G377" s="214"/>
      <c r="H377" s="214"/>
      <c r="I377" s="210"/>
    </row>
    <row r="378" spans="1:9" x14ac:dyDescent="0.2">
      <c r="A378" s="294" t="str">
        <f>Summary!A53</f>
        <v xml:space="preserve">  Customers</v>
      </c>
      <c r="B378" s="294"/>
      <c r="C378" s="294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422" t="str">
        <f>Summary!A54</f>
        <v xml:space="preserve">  kWh</v>
      </c>
      <c r="B379" s="433"/>
      <c r="C379" s="294"/>
      <c r="D379" s="214">
        <f>L27*1000000</f>
        <v>53269200</v>
      </c>
      <c r="E379" s="214">
        <f>Summary!K54</f>
        <v>49810828.47313495</v>
      </c>
      <c r="F379" s="214">
        <f>Summary!L54</f>
        <v>51266484.907131426</v>
      </c>
      <c r="G379" s="214">
        <f>Summary!M54</f>
        <v>44790760.353888795</v>
      </c>
      <c r="H379" s="214">
        <f>Summary!N54</f>
        <v>44105573.673745528</v>
      </c>
      <c r="I379" s="214">
        <f>Summary!O54</f>
        <v>43430868.637203231</v>
      </c>
    </row>
    <row r="380" spans="1:9" x14ac:dyDescent="0.2">
      <c r="A380" s="422" t="str">
        <f>Summary!A55</f>
        <v xml:space="preserve">  kW</v>
      </c>
      <c r="B380" s="433"/>
      <c r="C380" s="294"/>
      <c r="D380" s="214">
        <v>103266</v>
      </c>
      <c r="E380" s="214">
        <f>Summary!K55</f>
        <v>101371.27183867899</v>
      </c>
      <c r="F380" s="214">
        <f>Summary!L55</f>
        <v>107151.213530009</v>
      </c>
      <c r="G380" s="214">
        <f>Summary!M55</f>
        <v>100035.046333313</v>
      </c>
      <c r="H380" s="214">
        <f>Summary!N55</f>
        <v>91971.308330616288</v>
      </c>
      <c r="I380" s="214">
        <f>Summary!O55</f>
        <v>90564.377192908636</v>
      </c>
    </row>
    <row r="381" spans="1:9" x14ac:dyDescent="0.2">
      <c r="A381" s="400"/>
      <c r="B381" s="402"/>
      <c r="C381" s="294"/>
      <c r="D381" s="214"/>
      <c r="E381" s="214"/>
      <c r="F381" s="214"/>
      <c r="G381" s="214"/>
      <c r="H381" s="214"/>
      <c r="I381" s="210"/>
    </row>
    <row r="382" spans="1:9" x14ac:dyDescent="0.2">
      <c r="A382" s="442" t="s">
        <v>25</v>
      </c>
      <c r="B382" s="443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31" t="s">
        <v>59</v>
      </c>
      <c r="B384" s="432"/>
      <c r="C384" s="238"/>
      <c r="D384" s="266">
        <f t="shared" ref="D384:I385" si="87">D342+D346+D350+D355+D360+D364+D370+D375+D379</f>
        <v>1492380174</v>
      </c>
      <c r="E384" s="266">
        <f t="shared" si="87"/>
        <v>1508992455.6342261</v>
      </c>
      <c r="F384" s="266">
        <f t="shared" si="87"/>
        <v>1511608122.7106392</v>
      </c>
      <c r="G384" s="266">
        <f t="shared" si="87"/>
        <v>1524907312.7115221</v>
      </c>
      <c r="H384" s="266">
        <f t="shared" si="87"/>
        <v>1529961781.492744</v>
      </c>
      <c r="I384" s="266">
        <f t="shared" si="87"/>
        <v>1519910890.719239</v>
      </c>
    </row>
    <row r="385" spans="1:9" x14ac:dyDescent="0.2">
      <c r="A385" s="431" t="s">
        <v>69</v>
      </c>
      <c r="B385" s="432"/>
      <c r="C385" s="238"/>
      <c r="D385" s="266">
        <f t="shared" si="87"/>
        <v>2227780</v>
      </c>
      <c r="E385" s="266">
        <f t="shared" si="87"/>
        <v>2490272.3115422293</v>
      </c>
      <c r="F385" s="266">
        <f t="shared" si="87"/>
        <v>2561515.7025324772</v>
      </c>
      <c r="G385" s="266">
        <f t="shared" si="87"/>
        <v>2570937.532216242</v>
      </c>
      <c r="H385" s="266">
        <f t="shared" si="87"/>
        <v>2399687.9428291428</v>
      </c>
      <c r="I385" s="266">
        <f t="shared" si="87"/>
        <v>2386041.3510180917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1508992455.6342261</v>
      </c>
      <c r="F388" s="266">
        <f>Summary!L63</f>
        <v>1511608122.7106392</v>
      </c>
      <c r="G388" s="266">
        <f>Summary!M63</f>
        <v>1524907312.7115221</v>
      </c>
      <c r="H388" s="266">
        <f>Summary!N63</f>
        <v>1529961781.492744</v>
      </c>
      <c r="I388" s="266">
        <f>Summary!O63</f>
        <v>1519910890.719239</v>
      </c>
    </row>
    <row r="389" spans="1:9" s="190" customFormat="1" x14ac:dyDescent="0.2">
      <c r="D389" s="266">
        <v>2227780</v>
      </c>
      <c r="E389" s="266">
        <f>Summary!K64</f>
        <v>2490272.3115422293</v>
      </c>
      <c r="F389" s="266">
        <f>Summary!L64</f>
        <v>2561515.7025324772</v>
      </c>
      <c r="G389" s="266">
        <f>Summary!M64</f>
        <v>2570937.532216242</v>
      </c>
      <c r="H389" s="266">
        <f>Summary!N64</f>
        <v>2399687.9428291428</v>
      </c>
      <c r="I389" s="266">
        <f>Summary!O64</f>
        <v>2386041.3510180917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pane xSplit="1" ySplit="3" topLeftCell="E52" activePane="bottomRight" state="frozen"/>
      <selection pane="topRight" activeCell="B1" sqref="B1"/>
      <selection pane="bottomLeft" activeCell="A4" sqref="A4"/>
      <selection pane="bottomRight" activeCell="N68" sqref="N68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165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1416590403.2563884</v>
      </c>
      <c r="C5" s="29">
        <f>'Purchased Power Model'!N240</f>
        <v>1470575513.6215622</v>
      </c>
      <c r="D5" s="29">
        <f>'Purchased Power Model'!N241</f>
        <v>1500853265.2510455</v>
      </c>
      <c r="E5" s="29">
        <f>'Purchased Power Model'!N242</f>
        <v>1539378098.2646749</v>
      </c>
      <c r="F5" s="29">
        <f>'Purchased Power Model'!N243</f>
        <v>1627237981.0482955</v>
      </c>
      <c r="G5" s="29">
        <f>'Purchased Power Model'!N244</f>
        <v>1634026222.3421593</v>
      </c>
      <c r="H5" s="29">
        <f>'Purchased Power Model'!N245</f>
        <v>1622797318.6380689</v>
      </c>
      <c r="I5" s="29">
        <f>'Purchased Power Model'!N246</f>
        <v>1601223664.943572</v>
      </c>
      <c r="J5" s="96">
        <f>'Purchased Power Model'!N247</f>
        <v>1444459368.9156191</v>
      </c>
      <c r="K5" s="96">
        <f>'Purchased Power Model'!N248</f>
        <v>1492411339.98773</v>
      </c>
      <c r="L5" s="6">
        <f>'Purchased Power Model'!N249</f>
        <v>1537757751.8746831</v>
      </c>
      <c r="M5" s="27">
        <f>'Purchased Power Model'!N250</f>
        <v>1511521114.71822</v>
      </c>
      <c r="N5" s="27">
        <f>'Purchased Power Model'!N251</f>
        <v>1552349298.4519138</v>
      </c>
      <c r="O5" s="27">
        <f>'Purchased Power Model'!N252</f>
        <v>1552440957.9431405</v>
      </c>
    </row>
    <row r="6" spans="1:16" x14ac:dyDescent="0.2">
      <c r="A6" s="18" t="s">
        <v>11</v>
      </c>
      <c r="B6" s="46">
        <f t="shared" ref="B6:M6" si="0">(B5-B4)/B4</f>
        <v>-3.087540818540185E-3</v>
      </c>
      <c r="C6" s="46">
        <f t="shared" si="0"/>
        <v>-3.1971437999314505E-2</v>
      </c>
      <c r="D6" s="46">
        <f t="shared" si="0"/>
        <v>-1.5005579642412156E-2</v>
      </c>
      <c r="E6" s="46">
        <f t="shared" si="0"/>
        <v>-1.9757841678122737E-2</v>
      </c>
      <c r="F6" s="46">
        <f t="shared" si="0"/>
        <v>-8.3795100296095177E-3</v>
      </c>
      <c r="G6" s="46">
        <f t="shared" si="0"/>
        <v>2.1675030880138252E-2</v>
      </c>
      <c r="H6" s="46">
        <f t="shared" si="0"/>
        <v>8.453546489106966E-3</v>
      </c>
      <c r="I6" s="46">
        <f t="shared" si="0"/>
        <v>2.8057646351528055E-2</v>
      </c>
      <c r="J6" s="178">
        <f t="shared" si="0"/>
        <v>-4.0648515090222718E-3</v>
      </c>
      <c r="K6" s="178">
        <f t="shared" si="0"/>
        <v>-1.3715808501591445E-2</v>
      </c>
      <c r="L6" s="46">
        <f t="shared" si="0"/>
        <v>1.2056081841488491E-2</v>
      </c>
      <c r="M6" s="178">
        <f t="shared" si="0"/>
        <v>-9.8718112788486155E-3</v>
      </c>
      <c r="N6" s="23"/>
      <c r="O6" s="23"/>
    </row>
    <row r="7" spans="1:16" x14ac:dyDescent="0.2">
      <c r="A7" s="18" t="s">
        <v>215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-6476783.4953219099</v>
      </c>
      <c r="O7" s="270">
        <f>-'Rate Class Energy Model'!G86*'Rate Class Energy Model'!$F$27</f>
        <v>-16442097.295020105</v>
      </c>
    </row>
    <row r="8" spans="1:16" x14ac:dyDescent="0.2">
      <c r="A8" s="18" t="s">
        <v>216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1545872514.9565918</v>
      </c>
      <c r="O8" s="271">
        <f>O5+O7</f>
        <v>1535998860.6481204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223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1414463967.9417171</v>
      </c>
      <c r="K10" s="271">
        <f>'Rate Class Energy Model'!G21</f>
        <v>1472796612.2808106</v>
      </c>
      <c r="L10" s="6">
        <f>'Rate Class Energy Model'!G22</f>
        <v>1473820231.5484333</v>
      </c>
      <c r="M10" s="27">
        <f>'Rate Class Energy Model'!G23</f>
        <v>1493125081.2150552</v>
      </c>
      <c r="N10" s="27">
        <f>'Rate Class Energy Model'!G24-'Rate Class Energy Model'!G85</f>
        <v>1498665738.6993611</v>
      </c>
      <c r="O10" s="27">
        <f>'Rate Class Energy Model'!G25-'Rate Class Energy Model'!G86</f>
        <v>1489093599.1569984</v>
      </c>
    </row>
    <row r="11" spans="1:16" x14ac:dyDescent="0.2">
      <c r="A11" s="18" t="s">
        <v>224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36195843.353415452</v>
      </c>
      <c r="L11" s="96">
        <f>'Rate Class Energy Model'!R22</f>
        <v>37787891.162206024</v>
      </c>
      <c r="M11" s="96">
        <f>'Rate Class Energy Model'!R23</f>
        <v>31782231.496466897</v>
      </c>
      <c r="N11" s="27">
        <f>'Rate Class Energy Model'!P89</f>
        <v>31296042.793382775</v>
      </c>
      <c r="O11" s="27">
        <f>'Rate Class Energy Model'!P90</f>
        <v>30817291.562240575</v>
      </c>
    </row>
    <row r="12" spans="1:16" x14ac:dyDescent="0.2">
      <c r="A12" s="18" t="s">
        <v>222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1455112239.0806344</v>
      </c>
      <c r="K12" s="29">
        <f t="shared" si="1"/>
        <v>1508992455.6342261</v>
      </c>
      <c r="L12" s="29">
        <f t="shared" si="1"/>
        <v>1511608122.7106392</v>
      </c>
      <c r="M12" s="29">
        <f t="shared" si="1"/>
        <v>1524907312.7115221</v>
      </c>
      <c r="N12" s="29">
        <f t="shared" si="1"/>
        <v>1529961781.492744</v>
      </c>
      <c r="O12" s="29">
        <f t="shared" si="1"/>
        <v>1519910890.719239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379582713.77996498</v>
      </c>
      <c r="K17" s="27">
        <f>'Rate Class Energy Model'!H21</f>
        <v>396266835.39498103</v>
      </c>
      <c r="L17" s="59">
        <f>'Rate Class Energy Model'!H22</f>
        <v>396556720.36740702</v>
      </c>
      <c r="M17" s="27">
        <f>'Rate Class Energy Model'!H23</f>
        <v>399587578.131836</v>
      </c>
      <c r="N17" s="27">
        <f>'Rate Class Energy Model'!H73</f>
        <v>403188540.92166173</v>
      </c>
      <c r="O17" s="27">
        <f>'Rate Class Energy Model'!H74</f>
        <v>400646088.43738562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160300294.19006801</v>
      </c>
      <c r="K21" s="27">
        <f>'Rate Class Energy Model'!I21</f>
        <v>163479892.81864899</v>
      </c>
      <c r="L21" s="6">
        <f>'Rate Class Energy Model'!I22</f>
        <v>158322069.24360299</v>
      </c>
      <c r="M21" s="27">
        <f>'Rate Class Energy Model'!I23</f>
        <v>158595034.37600499</v>
      </c>
      <c r="N21" s="27">
        <f>'Rate Class Energy Model'!I73</f>
        <v>158300277.92936057</v>
      </c>
      <c r="O21" s="27">
        <f>'Rate Class Energy Model'!I74</f>
        <v>155607417.2360687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457225682.57655197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432461966.79929602</v>
      </c>
      <c r="K25" s="27">
        <f>'Rate Class Energy Model'!J21</f>
        <v>426513755.56307799</v>
      </c>
      <c r="L25" s="6">
        <f>'Rate Class Energy Model'!J22</f>
        <v>437159036.082142</v>
      </c>
      <c r="M25" s="27">
        <f>'Rate Class Energy Model'!J23</f>
        <v>437401279.48903602</v>
      </c>
      <c r="N25" s="27">
        <f>'Rate Class Energy Model'!J73</f>
        <v>438308861.57751542</v>
      </c>
      <c r="O25" s="27">
        <f>'Rate Class Energy Model'!J74</f>
        <v>434548089.30767494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1337289.3743672101</v>
      </c>
      <c r="K26" s="27">
        <f>'Rate Class Load Model'!B13</f>
        <v>1294863.05220355</v>
      </c>
      <c r="L26" s="6">
        <f>'Rate Class Load Model'!B14</f>
        <v>1331831.0365679199</v>
      </c>
      <c r="M26" s="27">
        <f>'Rate Class Load Model'!B15</f>
        <v>1350651.40979942</v>
      </c>
      <c r="N26" s="27">
        <f>'Rate Class Load Model'!B16</f>
        <v>1245571.5748493606</v>
      </c>
      <c r="O26" s="27">
        <f>'Rate Class Load Model'!B17</f>
        <v>1234884.3370373398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193002685.32998699</v>
      </c>
      <c r="K30" s="27">
        <f>'Rate Class Energy Model'!K21</f>
        <v>220917668.45862401</v>
      </c>
      <c r="L30" s="6">
        <f>'Rate Class Energy Model'!K22</f>
        <v>240767174.87713</v>
      </c>
      <c r="M30" s="27">
        <f>'Rate Class Energy Model'!K23</f>
        <v>226229939.170288</v>
      </c>
      <c r="N30" s="27">
        <f>'Rate Class Energy Model'!K73</f>
        <v>224487825.83876389</v>
      </c>
      <c r="O30" s="27">
        <f>'Rate Class Energy Model'!K74</f>
        <v>221369806.97822428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530195.33860000002</v>
      </c>
      <c r="K31" s="27">
        <f>'Rate Class Load Model'!C13</f>
        <v>570059.72519999999</v>
      </c>
      <c r="L31" s="6">
        <f>'Rate Class Load Model'!C14</f>
        <v>582382.60674197297</v>
      </c>
      <c r="M31" s="27">
        <f>'Rate Class Load Model'!C15</f>
        <v>527946.71947526897</v>
      </c>
      <c r="N31" s="27">
        <f>'Rate Class Load Model'!C16</f>
        <v>533990.28943076567</v>
      </c>
      <c r="O31" s="27">
        <f>'Rate Class Load Model'!C17</f>
        <v>526573.44271505112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196557280.622706</v>
      </c>
      <c r="L35" s="6">
        <f>'Rate Class Energy Model'!L22</f>
        <v>169195800.19187</v>
      </c>
      <c r="M35" s="27">
        <f>'Rate Class Energy Model'!L23</f>
        <v>201189505.21250001</v>
      </c>
      <c r="N35" s="27">
        <f>'Rate Class Energy Model'!L73</f>
        <v>204337521.74348557</v>
      </c>
      <c r="O35" s="27">
        <f>'Rate Class Energy Model'!L74</f>
        <v>207072349.00780675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</v>
      </c>
      <c r="M36" s="27">
        <f>'Rate Class Load Model'!D15</f>
        <v>483777.43670654303</v>
      </c>
      <c r="N36" s="27">
        <f>'Rate Class Load Model'!D16</f>
        <v>423390.54069697933</v>
      </c>
      <c r="O36" s="27">
        <f>'Rate Class Load Model'!D17</f>
        <v>429057.14555874991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46753740.939999998</v>
      </c>
      <c r="M40" s="27">
        <f>'Rate Class Energy Model'!M23</f>
        <v>45452655.189999998</v>
      </c>
      <c r="N40" s="27">
        <f>'Rate Class Energy Model'!M73</f>
        <v>45724232.197163619</v>
      </c>
      <c r="O40" s="27">
        <f>'Rate Class Energy Model'!M74</f>
        <v>45894936.545319714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78916.676104049038</v>
      </c>
      <c r="O41" s="27">
        <f>'Rate Class Load Model'!E17</f>
        <v>79211.2993072315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9470530.1599761192</v>
      </c>
      <c r="K45" s="27">
        <f>'Rate Class Energy Model'!N21</f>
        <v>9519205.9225450996</v>
      </c>
      <c r="L45" s="6">
        <f>'Rate Class Energy Model'!N22</f>
        <v>9519485.5138937496</v>
      </c>
      <c r="M45" s="27">
        <f>'Rate Class Energy Model'!N23</f>
        <v>9645171.1912231408</v>
      </c>
      <c r="N45" s="27">
        <f>'Rate Class Energy Model'!N73</f>
        <v>9630507.6141368318</v>
      </c>
      <c r="O45" s="27">
        <f>'Rate Class Energy Model'!N74</f>
        <v>9594439.4543452542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26613.74</v>
      </c>
      <c r="L46" s="6">
        <f>'Rate Class Load Model'!F14</f>
        <v>26604.0272498757</v>
      </c>
      <c r="M46" s="27">
        <f>'Rate Class Load Model'!F15</f>
        <v>26876.1599016972</v>
      </c>
      <c r="N46" s="27">
        <f>'Rate Class Load Model'!F16</f>
        <v>25847.553417371451</v>
      </c>
      <c r="O46" s="27">
        <f>'Rate Class Load Model'!F17</f>
        <v>25750.749206811401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2135656.9424311598</v>
      </c>
      <c r="K50" s="27">
        <f>'Rate Class Energy Model'!O21</f>
        <v>2130241.9105078499</v>
      </c>
      <c r="L50" s="6">
        <f>'Rate Class Energy Model'!O22</f>
        <v>2067610.5874618399</v>
      </c>
      <c r="M50" s="27">
        <f>'Rate Class Energy Model'!O23</f>
        <v>2015389.59674505</v>
      </c>
      <c r="N50" s="27">
        <f>'Rate Class Energy Model'!O73</f>
        <v>1878439.9969108163</v>
      </c>
      <c r="O50" s="27">
        <f>'Rate Class Energy Model'!O74</f>
        <v>1746895.1152104537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49810828.47313495</v>
      </c>
      <c r="L54" s="27">
        <f>'Rate Class Energy Model'!P22+'Rate Class Energy Model'!R22</f>
        <v>51266484.907131426</v>
      </c>
      <c r="M54" s="27">
        <f>'Rate Class Energy Model'!P23+'Rate Class Energy Model'!R23</f>
        <v>44790760.353888795</v>
      </c>
      <c r="N54" s="27">
        <f>'Rate Class Energy Model'!P73</f>
        <v>44105573.673745528</v>
      </c>
      <c r="O54" s="27">
        <f>'Rate Class Energy Model'!P74</f>
        <v>43430868.637203231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</v>
      </c>
      <c r="K55" s="27">
        <f>'Rate Class Load Model'!G13</f>
        <v>101371.27183867899</v>
      </c>
      <c r="L55" s="27">
        <f>'Rate Class Load Model'!G14</f>
        <v>107151.213530009</v>
      </c>
      <c r="M55" s="27">
        <f>'Rate Class Load Model'!G15</f>
        <v>100035.046333313</v>
      </c>
      <c r="N55" s="27">
        <f>'Rate Class Load Model'!G16</f>
        <v>91971.308330616288</v>
      </c>
      <c r="O55" s="27">
        <f>'Rate Class Load Model'!G17</f>
        <v>90564.377192908636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1455112239.0806344</v>
      </c>
      <c r="K59" s="27">
        <f t="shared" si="3"/>
        <v>1508992455.6342261</v>
      </c>
      <c r="L59" s="27">
        <f t="shared" si="3"/>
        <v>1511608122.7106392</v>
      </c>
      <c r="M59" s="27">
        <f t="shared" si="3"/>
        <v>1524907312.7115221</v>
      </c>
      <c r="N59" s="27">
        <f>N17+N21+N25+N30+N35+N45+N50+N54+N40</f>
        <v>1529961781.492744</v>
      </c>
      <c r="O59" s="27">
        <f>O17+O21+O25+O30+O35+O45+O50+O54+O40</f>
        <v>1519910890.719239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2486460.1460031625</v>
      </c>
      <c r="K60" s="27">
        <f t="shared" si="4"/>
        <v>2490272.3115422293</v>
      </c>
      <c r="L60" s="27">
        <f t="shared" si="4"/>
        <v>2561515.7025324772</v>
      </c>
      <c r="M60" s="27">
        <f t="shared" si="4"/>
        <v>2570937.532216242</v>
      </c>
      <c r="N60" s="27">
        <f>N26+N31+N36+N46+N55+N41</f>
        <v>2399687.9428291428</v>
      </c>
      <c r="O60" s="27">
        <f>O26+O31+O36+O46+O55+O41</f>
        <v>2386041.3510180917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1455112239.0806344</v>
      </c>
      <c r="K63" s="27">
        <f>'Rate Class Energy Model'!G21+'Rate Class Energy Model'!R21</f>
        <v>1508992455.6342261</v>
      </c>
      <c r="L63" s="27">
        <f>'Rate Class Energy Model'!G22+'Rate Class Energy Model'!R22</f>
        <v>1511608122.7106392</v>
      </c>
      <c r="M63" s="27">
        <f>'Rate Class Energy Model'!G23+'Rate Class Energy Model'!R23</f>
        <v>1524907312.7115221</v>
      </c>
      <c r="N63" s="27">
        <f>'Rate Class Energy Model'!Q73</f>
        <v>1529961781.492744</v>
      </c>
      <c r="O63" s="27">
        <f>'Rate Class Energy Model'!Q74</f>
        <v>1519910890.719239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2486460.1460031625</v>
      </c>
      <c r="K64" s="27">
        <f>'Rate Class Load Model'!H13</f>
        <v>2490272.3115422293</v>
      </c>
      <c r="L64" s="27">
        <f>'Rate Class Load Model'!H14</f>
        <v>2561515.7025324772</v>
      </c>
      <c r="M64" s="27">
        <f>'Rate Class Load Model'!H15</f>
        <v>2570937.532216242</v>
      </c>
      <c r="N64" s="27">
        <f>'Rate Class Load Model'!H16</f>
        <v>2399687.9428291428</v>
      </c>
      <c r="O64" s="27">
        <f>'Rate Class Load Model'!H17</f>
        <v>2386041.3510180917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v>80581.967535952397</v>
      </c>
      <c r="K67" s="101">
        <v>73663.072638679005</v>
      </c>
      <c r="L67" s="181">
        <v>78979.832576877903</v>
      </c>
      <c r="M67" s="181">
        <v>70981.983230590806</v>
      </c>
      <c r="N67" s="182"/>
      <c r="O67" s="182"/>
    </row>
    <row r="68" spans="1:15" x14ac:dyDescent="0.2">
      <c r="A68" t="s">
        <v>87</v>
      </c>
      <c r="J68" s="101">
        <v>27009.0216</v>
      </c>
      <c r="K68" s="101">
        <v>27708.199199999999</v>
      </c>
      <c r="L68" s="181">
        <v>28171.380953131102</v>
      </c>
      <c r="M68" s="181">
        <v>29053.063102722201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101371.27183867901</v>
      </c>
      <c r="L69" s="102">
        <f t="shared" si="5"/>
        <v>107151.213530009</v>
      </c>
      <c r="M69" s="102">
        <f t="shared" si="5"/>
        <v>100035.046333313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214" activePane="bottomRight" state="frozen"/>
      <selection activeCell="M35" sqref="M35"/>
      <selection pane="topRight" activeCell="M35" sqref="M35"/>
      <selection pane="bottomLeft" activeCell="M35" sqref="M35"/>
      <selection pane="bottomRight" activeCell="J3" sqref="J3:J230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.7109375" style="23" bestFit="1" customWidth="1"/>
    <col min="10" max="10" width="14.85546875" style="23" customWidth="1"/>
    <col min="11" max="11" width="12.140625" style="33" bestFit="1" customWidth="1"/>
    <col min="12" max="12" width="11" style="158" bestFit="1" customWidth="1"/>
    <col min="13" max="13" width="10.42578125" style="158" bestFit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156</v>
      </c>
      <c r="I2" s="85" t="s">
        <v>228</v>
      </c>
      <c r="J2" s="85" t="s">
        <v>157</v>
      </c>
      <c r="K2" s="87" t="s">
        <v>8</v>
      </c>
      <c r="L2" s="85" t="s">
        <v>158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159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104167780.94324757</v>
      </c>
      <c r="O3" s="53">
        <f t="shared" ref="O3:O66" si="0">N3-B3</f>
        <v>-1240954.0567524284</v>
      </c>
      <c r="P3" s="171">
        <f t="shared" ref="P3:P66" si="1">O3/B3</f>
        <v>-1.1772781987682789E-2</v>
      </c>
      <c r="Q3" s="13">
        <f>ABS(P3)</f>
        <v>1.1772781987682789E-2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98340366.838100418</v>
      </c>
      <c r="O4" s="53">
        <f t="shared" si="0"/>
        <v>399203.83810041845</v>
      </c>
      <c r="P4" s="171">
        <f t="shared" si="1"/>
        <v>4.0759556643249015E-3</v>
      </c>
      <c r="Q4" s="13">
        <f t="shared" ref="Q4:Q67" si="2">ABS(P4)</f>
        <v>4.0759556643249015E-3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99598764.779709235</v>
      </c>
      <c r="O5" s="53">
        <f t="shared" si="0"/>
        <v>1253220.7797092348</v>
      </c>
      <c r="P5" s="171">
        <f t="shared" si="1"/>
        <v>1.2743035716079163E-2</v>
      </c>
      <c r="Q5" s="13">
        <f t="shared" si="2"/>
        <v>1.2743035716079163E-2</v>
      </c>
      <c r="R5" s="13"/>
      <c r="S5" s="13"/>
      <c r="T5" s="34" t="s">
        <v>30</v>
      </c>
      <c r="U5" s="166">
        <v>0.96304104576043503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93259567.168654919</v>
      </c>
      <c r="O6" s="53">
        <f t="shared" si="0"/>
        <v>4582217.1686549187</v>
      </c>
      <c r="P6" s="171">
        <f t="shared" si="1"/>
        <v>5.1672914996387674E-2</v>
      </c>
      <c r="Q6" s="13">
        <f t="shared" si="2"/>
        <v>5.1672914996387674E-2</v>
      </c>
      <c r="R6" s="13"/>
      <c r="S6" s="13"/>
      <c r="T6" s="34" t="s">
        <v>31</v>
      </c>
      <c r="U6" s="166">
        <v>0.9274480558193523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95172022.250508845</v>
      </c>
      <c r="O7" s="53">
        <f t="shared" si="0"/>
        <v>9061248.2505088449</v>
      </c>
      <c r="P7" s="171">
        <f t="shared" si="1"/>
        <v>0.10522781098807502</v>
      </c>
      <c r="Q7" s="13">
        <f t="shared" si="2"/>
        <v>0.10522781098807502</v>
      </c>
      <c r="R7" s="13"/>
      <c r="S7" s="13"/>
      <c r="T7" s="34" t="s">
        <v>32</v>
      </c>
      <c r="U7" s="166">
        <v>0.92447156580168466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94134890.36785388</v>
      </c>
      <c r="O8" s="53">
        <f t="shared" si="0"/>
        <v>6780922.3678538799</v>
      </c>
      <c r="P8" s="171">
        <f t="shared" si="1"/>
        <v>7.7625808227210463E-2</v>
      </c>
      <c r="Q8" s="13">
        <f t="shared" si="2"/>
        <v>7.7625808227210463E-2</v>
      </c>
      <c r="R8" s="13"/>
      <c r="S8" s="13"/>
      <c r="T8" s="34" t="s">
        <v>33</v>
      </c>
      <c r="U8" s="168">
        <v>3720532.0310815712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100172896.81903376</v>
      </c>
      <c r="O9" s="53">
        <f t="shared" si="0"/>
        <v>10719734.819033757</v>
      </c>
      <c r="P9" s="171">
        <f t="shared" si="1"/>
        <v>0.11983628727438117</v>
      </c>
      <c r="Q9" s="13">
        <f t="shared" si="2"/>
        <v>0.11983628727438117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100330377.49164499</v>
      </c>
      <c r="O10" s="53">
        <f t="shared" si="0"/>
        <v>4807444.4916449934</v>
      </c>
      <c r="P10" s="171">
        <f t="shared" si="1"/>
        <v>5.0327647410543741E-2</v>
      </c>
      <c r="Q10" s="13">
        <f t="shared" si="2"/>
        <v>5.0327647410543741E-2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88410978.91744408</v>
      </c>
      <c r="O11" s="53">
        <f t="shared" si="0"/>
        <v>-194629.08255591989</v>
      </c>
      <c r="P11" s="171">
        <f t="shared" si="1"/>
        <v>-2.1965774734700751E-3</v>
      </c>
      <c r="Q11" s="13">
        <f t="shared" si="2"/>
        <v>2.1965774734700751E-3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94217082.979368389</v>
      </c>
      <c r="O12" s="53">
        <f t="shared" si="0"/>
        <v>2368034.9793683887</v>
      </c>
      <c r="P12" s="171">
        <f t="shared" si="1"/>
        <v>2.5781812995692547E-2</v>
      </c>
      <c r="Q12" s="13">
        <f t="shared" si="2"/>
        <v>2.5781812995692547E-2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94159118.326332465</v>
      </c>
      <c r="O13" s="53">
        <f t="shared" si="0"/>
        <v>-3664943.6736675352</v>
      </c>
      <c r="P13" s="171">
        <f t="shared" si="1"/>
        <v>-3.7464644165640305E-2</v>
      </c>
      <c r="Q13" s="13">
        <f t="shared" si="2"/>
        <v>3.7464644165640305E-2</v>
      </c>
      <c r="R13" s="13"/>
      <c r="S13" s="13"/>
      <c r="T13" s="34" t="s">
        <v>36</v>
      </c>
      <c r="U13" s="34">
        <v>8</v>
      </c>
      <c r="V13" s="34">
        <v>3.4505255492310456E+16</v>
      </c>
      <c r="W13" s="34">
        <v>4313156936538807</v>
      </c>
      <c r="X13" s="34">
        <v>311.59118636860359</v>
      </c>
      <c r="Y13" s="34">
        <v>1.0751297383023111E-106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98672382.173782468</v>
      </c>
      <c r="O14" s="53">
        <f t="shared" si="0"/>
        <v>-1013863.8262175322</v>
      </c>
      <c r="P14" s="171">
        <f t="shared" si="1"/>
        <v>-1.0170548765749812E-2</v>
      </c>
      <c r="Q14" s="13">
        <f t="shared" si="2"/>
        <v>1.0170548765749812E-2</v>
      </c>
      <c r="R14" s="13"/>
      <c r="S14" s="13"/>
      <c r="T14" s="34" t="s">
        <v>37</v>
      </c>
      <c r="U14" s="34">
        <v>195</v>
      </c>
      <c r="V14" s="34">
        <v>2699259925889272.5</v>
      </c>
      <c r="W14" s="34">
        <v>13842358594303.961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106993537.03268144</v>
      </c>
      <c r="O15" s="53">
        <f t="shared" si="0"/>
        <v>-1693946.9673185647</v>
      </c>
      <c r="P15" s="171">
        <f t="shared" si="1"/>
        <v>-1.5585483304761795E-2</v>
      </c>
      <c r="Q15" s="13">
        <f t="shared" si="2"/>
        <v>1.5585483304761795E-2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97575931.2090379</v>
      </c>
      <c r="O16" s="53">
        <f t="shared" si="0"/>
        <v>686843.20903789997</v>
      </c>
      <c r="P16" s="171">
        <f t="shared" si="1"/>
        <v>7.0889635067872651E-3</v>
      </c>
      <c r="Q16" s="13">
        <f t="shared" si="2"/>
        <v>7.0889635067872651E-3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97625475.509581164</v>
      </c>
      <c r="O17" s="53">
        <f t="shared" si="0"/>
        <v>-4323246.4904188365</v>
      </c>
      <c r="P17" s="171">
        <f t="shared" si="1"/>
        <v>-4.2406088135355305E-2</v>
      </c>
      <c r="Q17" s="13">
        <f t="shared" si="2"/>
        <v>4.2406088135355305E-2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96632686.270270914</v>
      </c>
      <c r="O18" s="53">
        <f t="shared" si="0"/>
        <v>946614.27027091384</v>
      </c>
      <c r="P18" s="171">
        <f t="shared" si="1"/>
        <v>9.8929159749698344E-3</v>
      </c>
      <c r="Q18" s="13">
        <f t="shared" si="2"/>
        <v>9.8929159749698344E-3</v>
      </c>
      <c r="R18" s="13"/>
      <c r="S18" s="13"/>
      <c r="T18" s="34" t="s">
        <v>38</v>
      </c>
      <c r="U18" s="168">
        <v>-81874563.181608841</v>
      </c>
      <c r="V18" s="34">
        <v>10999278.716601972</v>
      </c>
      <c r="W18" s="167">
        <v>-7.4436301953172537</v>
      </c>
      <c r="X18" s="34">
        <v>3.0669026844482073E-12</v>
      </c>
      <c r="Y18" s="34">
        <v>-103567385.22752205</v>
      </c>
      <c r="Z18" s="34">
        <v>-60181741.135695636</v>
      </c>
      <c r="AA18" s="34">
        <v>-103567385.22752205</v>
      </c>
      <c r="AB18" s="34">
        <v>-60181741.135695636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94977735.114658326</v>
      </c>
      <c r="O19" s="53">
        <f t="shared" si="0"/>
        <v>1166296.1146583259</v>
      </c>
      <c r="P19" s="171">
        <f t="shared" si="1"/>
        <v>1.2432344361099992E-2</v>
      </c>
      <c r="Q19" s="13">
        <f t="shared" si="2"/>
        <v>1.2432344361099992E-2</v>
      </c>
      <c r="R19" s="13"/>
      <c r="S19" s="13"/>
      <c r="T19" s="34" t="s">
        <v>4</v>
      </c>
      <c r="U19" s="168">
        <v>21602.132928655483</v>
      </c>
      <c r="V19" s="34">
        <v>1598.1925367162205</v>
      </c>
      <c r="W19" s="167">
        <v>13.516602306904163</v>
      </c>
      <c r="X19" s="34">
        <v>8.2881251902471755E-30</v>
      </c>
      <c r="Y19" s="34">
        <v>18450.171133036758</v>
      </c>
      <c r="Z19" s="34">
        <v>24754.094724274208</v>
      </c>
      <c r="AA19" s="34">
        <v>18450.171133036758</v>
      </c>
      <c r="AB19" s="34">
        <v>24754.094724274208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100584988.50103541</v>
      </c>
      <c r="O20" s="53">
        <f t="shared" si="0"/>
        <v>1487848.5010354072</v>
      </c>
      <c r="P20" s="171">
        <f t="shared" si="1"/>
        <v>1.5014040778930727E-2</v>
      </c>
      <c r="Q20" s="13">
        <f t="shared" si="2"/>
        <v>1.5014040778930727E-2</v>
      </c>
      <c r="R20" s="13"/>
      <c r="S20" s="13"/>
      <c r="T20" s="34" t="s">
        <v>5</v>
      </c>
      <c r="U20" s="168">
        <v>194391.6449872191</v>
      </c>
      <c r="V20" s="34">
        <v>15759.847308482875</v>
      </c>
      <c r="W20" s="167">
        <v>12.334614744813303</v>
      </c>
      <c r="X20" s="34">
        <v>3.2475164739701122E-26</v>
      </c>
      <c r="Y20" s="34">
        <v>163310.01027805707</v>
      </c>
      <c r="Z20" s="34">
        <v>225473.27969638113</v>
      </c>
      <c r="AA20" s="34">
        <v>163310.01027805707</v>
      </c>
      <c r="AB20" s="34">
        <v>225473.27969638113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106347865.71829103</v>
      </c>
      <c r="O21" s="53">
        <f t="shared" si="0"/>
        <v>3449512.7182910293</v>
      </c>
      <c r="P21" s="171">
        <f t="shared" si="1"/>
        <v>3.3523497876501766E-2</v>
      </c>
      <c r="Q21" s="13">
        <f t="shared" si="2"/>
        <v>3.3523497876501766E-2</v>
      </c>
      <c r="R21" s="13"/>
      <c r="S21" s="13"/>
      <c r="T21" s="34" t="s">
        <v>6</v>
      </c>
      <c r="U21" s="168">
        <v>1570463.2608946238</v>
      </c>
      <c r="V21" s="34">
        <v>353945.21369362535</v>
      </c>
      <c r="W21" s="167">
        <v>4.4370235848252362</v>
      </c>
      <c r="X21" s="34">
        <v>1.5234767461862234E-5</v>
      </c>
      <c r="Y21" s="34">
        <v>872411.0765209801</v>
      </c>
      <c r="Z21" s="34">
        <v>2268515.4452682678</v>
      </c>
      <c r="AA21" s="34">
        <v>872411.0765209801</v>
      </c>
      <c r="AB21" s="34">
        <v>2268515.4452682678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96977669.675020084</v>
      </c>
      <c r="O22" s="53">
        <f t="shared" si="0"/>
        <v>-848828.32497991621</v>
      </c>
      <c r="P22" s="171">
        <f t="shared" si="1"/>
        <v>-8.6768753081595158E-3</v>
      </c>
      <c r="Q22" s="13">
        <f t="shared" si="2"/>
        <v>8.6768753081595158E-3</v>
      </c>
      <c r="R22" s="13"/>
      <c r="S22" s="13"/>
      <c r="T22" s="34" t="s">
        <v>27</v>
      </c>
      <c r="U22" s="168">
        <v>-1443169.7144666414</v>
      </c>
      <c r="V22" s="34">
        <v>693989.76877500839</v>
      </c>
      <c r="W22" s="167">
        <v>-2.0795259230032213</v>
      </c>
      <c r="X22" s="34">
        <v>3.8876820321560632E-2</v>
      </c>
      <c r="Y22" s="34">
        <v>-2811859.147983565</v>
      </c>
      <c r="Z22" s="34">
        <v>-74480.280949717853</v>
      </c>
      <c r="AA22" s="34">
        <v>-2811859.147983565</v>
      </c>
      <c r="AB22" s="34">
        <v>-74480.280949717853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94079977.076430663</v>
      </c>
      <c r="O23" s="53">
        <f t="shared" si="0"/>
        <v>-1269201.9235693365</v>
      </c>
      <c r="P23" s="171">
        <f t="shared" si="1"/>
        <v>-1.3311094409835836E-2</v>
      </c>
      <c r="Q23" s="13">
        <f t="shared" si="2"/>
        <v>1.3311094409835836E-2</v>
      </c>
      <c r="R23" s="13"/>
      <c r="S23" s="13"/>
      <c r="T23" s="34" t="s">
        <v>7</v>
      </c>
      <c r="U23" s="168">
        <v>102812.6851613778</v>
      </c>
      <c r="V23" s="34">
        <v>16785.147496639991</v>
      </c>
      <c r="W23" s="167">
        <v>6.1252178559621582</v>
      </c>
      <c r="X23" s="34">
        <v>4.9032656662369992E-9</v>
      </c>
      <c r="Y23" s="34">
        <v>69708.949267365999</v>
      </c>
      <c r="Z23" s="34">
        <v>135916.4210553896</v>
      </c>
      <c r="AA23" s="34">
        <v>69708.949267365999</v>
      </c>
      <c r="AB23" s="34">
        <v>135916.4210553896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101153405.79934743</v>
      </c>
      <c r="O24" s="53">
        <f t="shared" si="0"/>
        <v>539323.79934743047</v>
      </c>
      <c r="P24" s="171">
        <f t="shared" si="1"/>
        <v>5.3603212256851922E-3</v>
      </c>
      <c r="Q24" s="13">
        <f t="shared" si="2"/>
        <v>5.3603212256851922E-3</v>
      </c>
      <c r="R24" s="13"/>
      <c r="S24" s="13"/>
      <c r="T24" s="34" t="s">
        <v>156</v>
      </c>
      <c r="U24" s="168">
        <v>210397.94990968483</v>
      </c>
      <c r="V24" s="34">
        <v>5013.1976261276704</v>
      </c>
      <c r="W24" s="167">
        <v>41.96881224333498</v>
      </c>
      <c r="X24" s="34">
        <v>1.3822370069349512E-99</v>
      </c>
      <c r="Y24" s="34">
        <v>200510.90124162647</v>
      </c>
      <c r="Z24" s="34">
        <v>220284.99857774319</v>
      </c>
      <c r="AA24" s="34">
        <v>200510.90124162647</v>
      </c>
      <c r="AB24" s="34">
        <v>220284.99857774319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98554631.145821109</v>
      </c>
      <c r="O25" s="53">
        <f t="shared" si="0"/>
        <v>-4497783.8541788906</v>
      </c>
      <c r="P25" s="171">
        <f t="shared" si="1"/>
        <v>-4.3645593887138796E-2</v>
      </c>
      <c r="Q25" s="13">
        <f t="shared" si="2"/>
        <v>4.3645593887138796E-2</v>
      </c>
      <c r="R25" s="13"/>
      <c r="S25" s="13"/>
      <c r="T25" s="34" t="s">
        <v>228</v>
      </c>
      <c r="U25" s="368">
        <v>-4.3474709179268824</v>
      </c>
      <c r="V25" s="34">
        <v>0.47049862549016458</v>
      </c>
      <c r="W25" s="167">
        <v>-9.240135214842967</v>
      </c>
      <c r="X25" s="34">
        <v>4.2922706359655878E-17</v>
      </c>
      <c r="Y25" s="34">
        <v>-5.2753902132348207</v>
      </c>
      <c r="Z25" s="34">
        <v>-3.4195516226189446</v>
      </c>
      <c r="AA25" s="34">
        <v>-5.2753902132348207</v>
      </c>
      <c r="AB25" s="34">
        <v>-3.4195516226189446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108134288.90131268</v>
      </c>
      <c r="O26" s="53">
        <f t="shared" si="0"/>
        <v>1172516.9013126791</v>
      </c>
      <c r="P26" s="171">
        <f t="shared" si="1"/>
        <v>1.0962018292971802E-2</v>
      </c>
      <c r="Q26" s="13">
        <f t="shared" si="2"/>
        <v>1.0962018292971802E-2</v>
      </c>
      <c r="R26" s="13"/>
      <c r="S26" s="13"/>
      <c r="T26" s="35" t="s">
        <v>157</v>
      </c>
      <c r="U26" s="367">
        <v>-326334.56929073925</v>
      </c>
      <c r="V26" s="35">
        <v>36977.562992094827</v>
      </c>
      <c r="W26" s="169">
        <v>-8.8252048779013386</v>
      </c>
      <c r="X26" s="35">
        <v>6.2194139410166024E-16</v>
      </c>
      <c r="Y26" s="35">
        <v>-399261.86882978282</v>
      </c>
      <c r="Z26" s="35">
        <v>-253407.26975169568</v>
      </c>
      <c r="AA26" s="35">
        <v>-399261.86882978282</v>
      </c>
      <c r="AB26" s="35">
        <v>-253407.26975169568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109604933.51362313</v>
      </c>
      <c r="O27" s="53">
        <f t="shared" si="0"/>
        <v>-1361509.4863768667</v>
      </c>
      <c r="P27" s="171">
        <f t="shared" si="1"/>
        <v>-1.2269560504673172E-2</v>
      </c>
      <c r="Q27" s="13">
        <f t="shared" si="2"/>
        <v>1.2269560504673172E-2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100378061.63128588</v>
      </c>
      <c r="O28" s="53">
        <f t="shared" si="0"/>
        <v>377046.63128587604</v>
      </c>
      <c r="P28" s="171">
        <f t="shared" si="1"/>
        <v>3.7704280430141237E-3</v>
      </c>
      <c r="Q28" s="13">
        <f t="shared" si="2"/>
        <v>3.7704280430141237E-3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105526289.25748032</v>
      </c>
      <c r="O29" s="53">
        <f t="shared" si="0"/>
        <v>-4211843.7425196767</v>
      </c>
      <c r="P29" s="171">
        <f t="shared" si="1"/>
        <v>-3.838085838875787E-2</v>
      </c>
      <c r="Q29" s="13">
        <f t="shared" si="2"/>
        <v>3.838085838875787E-2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98792621.971489638</v>
      </c>
      <c r="O30" s="53">
        <f t="shared" si="0"/>
        <v>2039135.9714896381</v>
      </c>
      <c r="P30" s="171">
        <f t="shared" si="1"/>
        <v>2.1075581416153191E-2</v>
      </c>
      <c r="Q30" s="13">
        <f t="shared" si="2"/>
        <v>2.1075581416153191E-2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97589924.861409992</v>
      </c>
      <c r="O31" s="53">
        <f t="shared" si="0"/>
        <v>-3435744.138590008</v>
      </c>
      <c r="P31" s="171">
        <f t="shared" si="1"/>
        <v>-3.400862545725887E-2</v>
      </c>
      <c r="Q31" s="13">
        <f t="shared" si="2"/>
        <v>3.400862545725887E-2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111219399.42987941</v>
      </c>
      <c r="O32" s="53">
        <f t="shared" si="0"/>
        <v>3597163.4298794121</v>
      </c>
      <c r="P32" s="171">
        <f t="shared" si="1"/>
        <v>3.342397968649724E-2</v>
      </c>
      <c r="Q32" s="13">
        <f t="shared" si="2"/>
        <v>3.342397968649724E-2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112989823.38741547</v>
      </c>
      <c r="O33" s="53">
        <f t="shared" si="0"/>
        <v>1730799.3874154687</v>
      </c>
      <c r="P33" s="171">
        <f t="shared" si="1"/>
        <v>1.5556485444411849E-2</v>
      </c>
      <c r="Q33" s="13">
        <f t="shared" si="2"/>
        <v>1.5556485444411849E-2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114459065.37719852</v>
      </c>
      <c r="O34" s="53">
        <f t="shared" si="0"/>
        <v>3820482.3771985173</v>
      </c>
      <c r="P34" s="171">
        <f t="shared" si="1"/>
        <v>3.4531194033807514E-2</v>
      </c>
      <c r="Q34" s="13">
        <f t="shared" si="2"/>
        <v>3.4531194033807514E-2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102860324.8357005</v>
      </c>
      <c r="O35" s="53">
        <f t="shared" si="0"/>
        <v>-257680.16429950297</v>
      </c>
      <c r="P35" s="171">
        <f t="shared" si="1"/>
        <v>-2.498886244933685E-3</v>
      </c>
      <c r="Q35" s="13">
        <f t="shared" si="2"/>
        <v>2.498886244933685E-3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103397603.81425381</v>
      </c>
      <c r="O36" s="53">
        <f t="shared" si="0"/>
        <v>519009.81425380707</v>
      </c>
      <c r="P36" s="171">
        <f t="shared" si="1"/>
        <v>5.0448766266557553E-3</v>
      </c>
      <c r="Q36" s="13">
        <f t="shared" si="2"/>
        <v>5.0448766266557553E-3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105895992.91658548</v>
      </c>
      <c r="O37" s="53">
        <f t="shared" si="0"/>
        <v>-1449956.0834145248</v>
      </c>
      <c r="P37" s="171">
        <f t="shared" si="1"/>
        <v>-1.3507319995974182E-2</v>
      </c>
      <c r="Q37" s="13">
        <f t="shared" si="2"/>
        <v>1.3507319995974182E-2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112929854.30217877</v>
      </c>
      <c r="O38" s="53">
        <f t="shared" si="0"/>
        <v>1725834.3021787703</v>
      </c>
      <c r="P38" s="171">
        <f t="shared" si="1"/>
        <v>1.5519531597677586E-2</v>
      </c>
      <c r="Q38" s="13">
        <f t="shared" si="2"/>
        <v>1.5519531597677586E-2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117897042.71534976</v>
      </c>
      <c r="O39" s="53">
        <f t="shared" si="0"/>
        <v>-2735169.9846502244</v>
      </c>
      <c r="P39" s="171">
        <f t="shared" si="1"/>
        <v>-2.2673628572596222E-2</v>
      </c>
      <c r="Q39" s="13">
        <f t="shared" si="2"/>
        <v>2.2673628572596222E-2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108560925.96945135</v>
      </c>
      <c r="O40" s="53">
        <f t="shared" si="0"/>
        <v>1500250.8694513589</v>
      </c>
      <c r="P40" s="171">
        <f t="shared" si="1"/>
        <v>1.4013089942222483E-2</v>
      </c>
      <c r="Q40" s="13">
        <f t="shared" si="2"/>
        <v>1.4013089942222483E-2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116613039.75036618</v>
      </c>
      <c r="O41" s="53">
        <f t="shared" si="0"/>
        <v>533640.85036617517</v>
      </c>
      <c r="P41" s="171">
        <f t="shared" si="1"/>
        <v>4.5972054940247899E-3</v>
      </c>
      <c r="Q41" s="13">
        <f t="shared" si="2"/>
        <v>4.5972054940247899E-3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106765699.98648638</v>
      </c>
      <c r="O42" s="53">
        <f t="shared" si="0"/>
        <v>4202275.1864863634</v>
      </c>
      <c r="P42" s="171">
        <f t="shared" si="1"/>
        <v>4.0972453822411388E-2</v>
      </c>
      <c r="Q42" s="13">
        <f t="shared" si="2"/>
        <v>4.0972453822411388E-2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104959691.57870567</v>
      </c>
      <c r="O43" s="53">
        <f t="shared" si="0"/>
        <v>761472.57870566845</v>
      </c>
      <c r="P43" s="171">
        <f t="shared" si="1"/>
        <v>7.3079231681077821E-3</v>
      </c>
      <c r="Q43" s="13">
        <f t="shared" si="2"/>
        <v>7.3079231681077821E-3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120645524.50433098</v>
      </c>
      <c r="O44" s="53">
        <f t="shared" si="0"/>
        <v>3948523.8043309748</v>
      </c>
      <c r="P44" s="171">
        <f t="shared" si="1"/>
        <v>3.3835692268404417E-2</v>
      </c>
      <c r="Q44" s="13">
        <f t="shared" si="2"/>
        <v>3.3835692268404417E-2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133363640.07289404</v>
      </c>
      <c r="O45" s="53">
        <f t="shared" si="0"/>
        <v>13517793.77289404</v>
      </c>
      <c r="P45" s="171">
        <f t="shared" si="1"/>
        <v>0.11279317715405912</v>
      </c>
      <c r="Q45" s="13">
        <f t="shared" si="2"/>
        <v>0.11279317715405912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113898522.17375977</v>
      </c>
      <c r="O46" s="53">
        <f t="shared" si="0"/>
        <v>-379607.12624023855</v>
      </c>
      <c r="P46" s="171">
        <f t="shared" si="1"/>
        <v>-3.3217828167601839E-3</v>
      </c>
      <c r="Q46" s="13">
        <f t="shared" si="2"/>
        <v>3.3217828167601839E-3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156</v>
      </c>
      <c r="AL46" s="36" t="s">
        <v>157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111881577.50006779</v>
      </c>
      <c r="O47" s="53">
        <f t="shared" si="0"/>
        <v>2093810.4000677913</v>
      </c>
      <c r="P47" s="171">
        <f t="shared" si="1"/>
        <v>1.9071436238981415E-2</v>
      </c>
      <c r="Q47" s="13">
        <f t="shared" si="2"/>
        <v>1.9071436238981415E-2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110919908.6147728</v>
      </c>
      <c r="O48" s="53">
        <f t="shared" si="0"/>
        <v>2462272.5147728026</v>
      </c>
      <c r="P48" s="171">
        <f t="shared" si="1"/>
        <v>2.270262015025425E-2</v>
      </c>
      <c r="Q48" s="13">
        <f t="shared" si="2"/>
        <v>2.270262015025425E-2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113941630.15587719</v>
      </c>
      <c r="O49" s="53">
        <f t="shared" si="0"/>
        <v>528774.25587718189</v>
      </c>
      <c r="P49" s="171">
        <f t="shared" si="1"/>
        <v>4.6623837454849056E-3</v>
      </c>
      <c r="Q49" s="13">
        <f t="shared" si="2"/>
        <v>4.6623837454849056E-3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119766764.06640002</v>
      </c>
      <c r="O50" s="53">
        <f t="shared" si="0"/>
        <v>1964539.8664000332</v>
      </c>
      <c r="P50" s="171">
        <f t="shared" si="1"/>
        <v>1.6676594009504563E-2</v>
      </c>
      <c r="Q50" s="13">
        <f t="shared" si="2"/>
        <v>1.6676594009504563E-2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120492821.90546007</v>
      </c>
      <c r="O51" s="53">
        <f t="shared" si="0"/>
        <v>-4416741.8945399374</v>
      </c>
      <c r="P51" s="171">
        <f t="shared" si="1"/>
        <v>-3.5359517399418991E-2</v>
      </c>
      <c r="Q51" s="13">
        <f t="shared" si="2"/>
        <v>3.5359517399418991E-2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113587025.21155983</v>
      </c>
      <c r="O52" s="53">
        <f t="shared" si="0"/>
        <v>-3106917.7884401679</v>
      </c>
      <c r="P52" s="171">
        <f t="shared" si="1"/>
        <v>-2.6624499169079992E-2</v>
      </c>
      <c r="Q52" s="13">
        <f t="shared" si="2"/>
        <v>2.6624499169079992E-2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115423881.32107329</v>
      </c>
      <c r="O53" s="53">
        <f t="shared" si="0"/>
        <v>-1332919.6789267063</v>
      </c>
      <c r="P53" s="171">
        <f t="shared" si="1"/>
        <v>-1.1416205887027568E-2</v>
      </c>
      <c r="Q53" s="13">
        <f t="shared" si="2"/>
        <v>1.1416205887027568E-2</v>
      </c>
      <c r="R53" s="13"/>
      <c r="S53" s="13"/>
      <c r="T53" s="34" t="s">
        <v>156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156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106062122.54318832</v>
      </c>
      <c r="O54" s="53">
        <f t="shared" si="0"/>
        <v>-535554.45681168139</v>
      </c>
      <c r="P54" s="171">
        <f t="shared" si="1"/>
        <v>-5.0240724927962683E-3</v>
      </c>
      <c r="Q54" s="13">
        <f t="shared" si="2"/>
        <v>5.0240724927962683E-3</v>
      </c>
      <c r="R54" s="13"/>
      <c r="S54" s="13"/>
      <c r="T54" s="34" t="s">
        <v>157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157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113622410.52851166</v>
      </c>
      <c r="O55" s="53">
        <f t="shared" si="0"/>
        <v>2121882.5285116583</v>
      </c>
      <c r="P55" s="171">
        <f t="shared" si="1"/>
        <v>1.9030246462255842E-2</v>
      </c>
      <c r="Q55" s="13">
        <f t="shared" si="2"/>
        <v>1.9030246462255842E-2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115466678.42933047</v>
      </c>
      <c r="O56" s="53">
        <f t="shared" si="0"/>
        <v>-113865.57066953182</v>
      </c>
      <c r="P56" s="171">
        <f t="shared" si="1"/>
        <v>-9.8516209328043843E-4</v>
      </c>
      <c r="Q56" s="13">
        <f t="shared" si="2"/>
        <v>9.8516209328043843E-4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115704760.11627916</v>
      </c>
      <c r="O57" s="53">
        <f t="shared" si="0"/>
        <v>2652555.116279155</v>
      </c>
      <c r="P57" s="171">
        <f t="shared" si="1"/>
        <v>2.3463099337860373E-2</v>
      </c>
      <c r="Q57" s="13">
        <f t="shared" si="2"/>
        <v>2.3463099337860373E-2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119371898.70504569</v>
      </c>
      <c r="O58" s="53">
        <f t="shared" si="0"/>
        <v>-1126245.2949543148</v>
      </c>
      <c r="P58" s="171">
        <f t="shared" si="1"/>
        <v>-9.3465779435931793E-3</v>
      </c>
      <c r="Q58" s="13">
        <f t="shared" si="2"/>
        <v>9.3465779435931793E-3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110348387.79666485</v>
      </c>
      <c r="O59" s="53">
        <f t="shared" si="0"/>
        <v>-1589333.2033351511</v>
      </c>
      <c r="P59" s="171">
        <f t="shared" si="1"/>
        <v>-1.4198370211013596E-2</v>
      </c>
      <c r="Q59" s="13">
        <f t="shared" si="2"/>
        <v>1.4198370211013596E-2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111406014.83376665</v>
      </c>
      <c r="O60" s="53">
        <f t="shared" si="0"/>
        <v>-1360665.1662333459</v>
      </c>
      <c r="P60" s="171">
        <f t="shared" si="1"/>
        <v>-1.20661986877094E-2</v>
      </c>
      <c r="Q60" s="13">
        <f t="shared" si="2"/>
        <v>1.20661986877094E-2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116963597.1377205</v>
      </c>
      <c r="O61" s="53">
        <f t="shared" si="0"/>
        <v>-925425.86227950454</v>
      </c>
      <c r="P61" s="171">
        <f t="shared" si="1"/>
        <v>-7.8499748214853268E-3</v>
      </c>
      <c r="Q61" s="13">
        <f t="shared" si="2"/>
        <v>7.8499748214853268E-3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123589935.11323878</v>
      </c>
      <c r="O62" s="53">
        <f t="shared" si="0"/>
        <v>-400826.88676121831</v>
      </c>
      <c r="P62" s="171">
        <f t="shared" si="1"/>
        <v>-3.2327157305575582E-3</v>
      </c>
      <c r="Q62" s="13">
        <f t="shared" si="2"/>
        <v>3.2327157305575582E-3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125757086.34712978</v>
      </c>
      <c r="O63" s="53">
        <f t="shared" si="0"/>
        <v>-1980862.6528702229</v>
      </c>
      <c r="P63" s="171">
        <f t="shared" si="1"/>
        <v>-1.5507237030009171E-2</v>
      </c>
      <c r="Q63" s="13">
        <f t="shared" si="2"/>
        <v>1.5507237030009171E-2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116297994.03462163</v>
      </c>
      <c r="O64" s="53">
        <f t="shared" si="0"/>
        <v>2267281.0346216261</v>
      </c>
      <c r="P64" s="171">
        <f t="shared" si="1"/>
        <v>1.9883073384112104E-2</v>
      </c>
      <c r="Q64" s="13">
        <f t="shared" si="2"/>
        <v>1.9883073384112104E-2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120606689.30411389</v>
      </c>
      <c r="O65" s="53">
        <f t="shared" si="0"/>
        <v>-2063706.6958861053</v>
      </c>
      <c r="P65" s="171">
        <f t="shared" si="1"/>
        <v>-1.6823184428997075E-2</v>
      </c>
      <c r="Q65" s="13">
        <f t="shared" si="2"/>
        <v>1.6823184428997075E-2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110134800.01137769</v>
      </c>
      <c r="O66" s="53">
        <f t="shared" si="0"/>
        <v>1973226.0113776922</v>
      </c>
      <c r="P66" s="171">
        <f t="shared" si="1"/>
        <v>1.8243318198916857E-2</v>
      </c>
      <c r="Q66" s="13">
        <f t="shared" si="2"/>
        <v>1.8243318198916857E-2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113644812.9174106</v>
      </c>
      <c r="O67" s="53">
        <f t="shared" ref="O67:O130" si="4">N67-B67</f>
        <v>2715508.9174105972</v>
      </c>
      <c r="P67" s="171">
        <f t="shared" ref="P67:P130" si="5">O67/B67</f>
        <v>2.4479635402838165E-2</v>
      </c>
      <c r="Q67" s="13">
        <f t="shared" si="2"/>
        <v>2.4479635402838165E-2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121347024.15808316</v>
      </c>
      <c r="O68" s="53">
        <f t="shared" si="4"/>
        <v>1080484.1580831558</v>
      </c>
      <c r="P68" s="171">
        <f t="shared" si="5"/>
        <v>8.9840795127485648E-3</v>
      </c>
      <c r="Q68" s="13">
        <f t="shared" ref="Q68:Q131" si="6">ABS(P68)</f>
        <v>8.9840795127485648E-3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122934639.70666087</v>
      </c>
      <c r="O69" s="53">
        <f t="shared" si="4"/>
        <v>3833290.7066608667</v>
      </c>
      <c r="P69" s="171">
        <f t="shared" si="5"/>
        <v>3.2185115776151844E-2</v>
      </c>
      <c r="Q69" s="13">
        <f t="shared" si="6"/>
        <v>3.2185115776151844E-2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129017468.04544191</v>
      </c>
      <c r="O70" s="53">
        <f t="shared" si="4"/>
        <v>-3565933.9545580894</v>
      </c>
      <c r="P70" s="171">
        <f t="shared" si="5"/>
        <v>-2.6895779567928792E-2</v>
      </c>
      <c r="Q70" s="13">
        <f t="shared" si="6"/>
        <v>2.6895779567928792E-2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108462764.96973158</v>
      </c>
      <c r="O71" s="53">
        <f t="shared" si="4"/>
        <v>-4944190.0302684158</v>
      </c>
      <c r="P71" s="171">
        <f t="shared" si="5"/>
        <v>-4.3596885484390405E-2</v>
      </c>
      <c r="Q71" s="13">
        <f t="shared" si="6"/>
        <v>4.3596885484390405E-2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114711718.31717888</v>
      </c>
      <c r="O72" s="53">
        <f t="shared" si="4"/>
        <v>-3327921.6828211248</v>
      </c>
      <c r="P72" s="171">
        <f t="shared" si="5"/>
        <v>-2.8193255103295171E-2</v>
      </c>
      <c r="Q72" s="13">
        <f t="shared" si="6"/>
        <v>2.8193255103295171E-2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115401833.72189215</v>
      </c>
      <c r="O73" s="53">
        <f t="shared" si="4"/>
        <v>-1760373.2781078517</v>
      </c>
      <c r="P73" s="171">
        <f t="shared" si="5"/>
        <v>-1.5025094893508209E-2</v>
      </c>
      <c r="Q73" s="13">
        <f t="shared" si="6"/>
        <v>1.5025094893508209E-2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118273571.72274633</v>
      </c>
      <c r="O74" s="53">
        <f t="shared" si="4"/>
        <v>1385870.7227463275</v>
      </c>
      <c r="P74" s="171">
        <f t="shared" si="5"/>
        <v>1.1856428956082622E-2</v>
      </c>
      <c r="Q74" s="13">
        <f t="shared" si="6"/>
        <v>1.1856428956082622E-2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124218182.65175007</v>
      </c>
      <c r="O75" s="53">
        <f t="shared" si="4"/>
        <v>-4161913.3482499272</v>
      </c>
      <c r="P75" s="171">
        <f t="shared" si="5"/>
        <v>-3.2418680760683709E-2</v>
      </c>
      <c r="Q75" s="13">
        <f t="shared" si="6"/>
        <v>3.2418680760683709E-2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115923229.37708113</v>
      </c>
      <c r="O76" s="53">
        <f t="shared" si="4"/>
        <v>-1868109.622918874</v>
      </c>
      <c r="P76" s="171">
        <f t="shared" si="5"/>
        <v>-1.585948201946218E-2</v>
      </c>
      <c r="Q76" s="13">
        <f t="shared" si="6"/>
        <v>1.585948201946218E-2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119287224.72050349</v>
      </c>
      <c r="O77" s="53">
        <f t="shared" si="4"/>
        <v>-6369874.2794965059</v>
      </c>
      <c r="P77" s="171">
        <f t="shared" si="5"/>
        <v>-5.0692514232693733E-2</v>
      </c>
      <c r="Q77" s="13">
        <f t="shared" si="6"/>
        <v>5.0692514232693733E-2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118151210.7254279</v>
      </c>
      <c r="O78" s="53">
        <f t="shared" si="4"/>
        <v>-1642561.2745721042</v>
      </c>
      <c r="P78" s="171">
        <f t="shared" si="5"/>
        <v>-1.3711574876965258E-2</v>
      </c>
      <c r="Q78" s="13">
        <f t="shared" si="6"/>
        <v>1.3711574876965258E-2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118302219.008194</v>
      </c>
      <c r="O79" s="53">
        <f t="shared" si="4"/>
        <v>-2141180.9918059856</v>
      </c>
      <c r="P79" s="171">
        <f t="shared" si="5"/>
        <v>-1.7777487116819899E-2</v>
      </c>
      <c r="Q79" s="13">
        <f t="shared" si="6"/>
        <v>1.7777487116819899E-2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120781190.02600272</v>
      </c>
      <c r="O80" s="53">
        <f t="shared" si="4"/>
        <v>-4703579.97399728</v>
      </c>
      <c r="P80" s="171">
        <f t="shared" si="5"/>
        <v>-3.7483273659403286E-2</v>
      </c>
      <c r="Q80" s="13">
        <f t="shared" si="6"/>
        <v>3.7483273659403286E-2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139655096.41143507</v>
      </c>
      <c r="O81" s="53">
        <f t="shared" si="4"/>
        <v>-1245613.5885649323</v>
      </c>
      <c r="P81" s="171">
        <f t="shared" si="5"/>
        <v>-8.8403641725079488E-3</v>
      </c>
      <c r="Q81" s="13">
        <f t="shared" si="6"/>
        <v>8.8403641725079488E-3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127525115.99320731</v>
      </c>
      <c r="O82" s="53">
        <f t="shared" si="4"/>
        <v>-9448424.0067926943</v>
      </c>
      <c r="P82" s="171">
        <f t="shared" si="5"/>
        <v>-6.897992128109337E-2</v>
      </c>
      <c r="Q82" s="13">
        <f t="shared" si="6"/>
        <v>6.897992128109337E-2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118084378.33141866</v>
      </c>
      <c r="O83" s="53">
        <f t="shared" si="4"/>
        <v>-8397321.6685813367</v>
      </c>
      <c r="P83" s="171">
        <f t="shared" si="5"/>
        <v>-6.6391593950597891E-2</v>
      </c>
      <c r="Q83" s="13">
        <f t="shared" si="6"/>
        <v>6.6391593950597891E-2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121381028.4174127</v>
      </c>
      <c r="O84" s="53">
        <f t="shared" si="4"/>
        <v>-3606301.5825873017</v>
      </c>
      <c r="P84" s="171">
        <f t="shared" si="5"/>
        <v>-2.8853337234960551E-2</v>
      </c>
      <c r="Q84" s="13">
        <f t="shared" si="6"/>
        <v>2.8853337234960551E-2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120130601.22593838</v>
      </c>
      <c r="O85" s="53">
        <f t="shared" si="4"/>
        <v>-4768168.7740616202</v>
      </c>
      <c r="P85" s="171">
        <f t="shared" si="5"/>
        <v>-3.8176266860447228E-2</v>
      </c>
      <c r="Q85" s="13">
        <f t="shared" si="6"/>
        <v>3.8176266860447228E-2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127136036.73319077</v>
      </c>
      <c r="O86" s="53">
        <f t="shared" si="4"/>
        <v>-216193.26680922508</v>
      </c>
      <c r="P86" s="171">
        <f t="shared" si="5"/>
        <v>-1.697600951386757E-3</v>
      </c>
      <c r="Q86" s="13">
        <f t="shared" si="6"/>
        <v>1.697600951386757E-3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134927844.47745648</v>
      </c>
      <c r="O87" s="53">
        <f t="shared" si="4"/>
        <v>-1084895.5225435197</v>
      </c>
      <c r="P87" s="171">
        <f t="shared" si="5"/>
        <v>-7.9764257564660466E-3</v>
      </c>
      <c r="Q87" s="13">
        <f t="shared" si="6"/>
        <v>7.9764257564660466E-3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123937022.0030451</v>
      </c>
      <c r="O88" s="53">
        <f t="shared" si="4"/>
        <v>-252277.99695490301</v>
      </c>
      <c r="P88" s="171">
        <f t="shared" si="5"/>
        <v>-2.0313988157989698E-3</v>
      </c>
      <c r="Q88" s="13">
        <f t="shared" si="6"/>
        <v>2.0313988157989698E-3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125614765.89430049</v>
      </c>
      <c r="O89" s="53">
        <f t="shared" si="4"/>
        <v>-4689464.1056995094</v>
      </c>
      <c r="P89" s="171">
        <f t="shared" si="5"/>
        <v>-3.5988579232612089E-2</v>
      </c>
      <c r="Q89" s="13">
        <f t="shared" si="6"/>
        <v>3.5988579232612089E-2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119594483.37806758</v>
      </c>
      <c r="O90" s="53">
        <f t="shared" si="4"/>
        <v>-272056.62193240225</v>
      </c>
      <c r="P90" s="171">
        <f t="shared" si="5"/>
        <v>-2.2696627593688972E-3</v>
      </c>
      <c r="Q90" s="13">
        <f t="shared" si="6"/>
        <v>2.2696627593688972E-3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118782865.1368141</v>
      </c>
      <c r="O91" s="53">
        <f t="shared" si="4"/>
        <v>-128654.86318589747</v>
      </c>
      <c r="P91" s="171">
        <f t="shared" si="5"/>
        <v>-1.0819377566269228E-3</v>
      </c>
      <c r="Q91" s="13">
        <f t="shared" si="6"/>
        <v>1.0819377566269228E-3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121345026.10643713</v>
      </c>
      <c r="O92" s="53">
        <f t="shared" si="4"/>
        <v>-2107003.8935628682</v>
      </c>
      <c r="P92" s="171">
        <f t="shared" si="5"/>
        <v>-1.7067389605200239E-2</v>
      </c>
      <c r="Q92" s="13">
        <f t="shared" si="6"/>
        <v>1.7067389605200239E-2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128933831.34783092</v>
      </c>
      <c r="O93" s="53">
        <f t="shared" si="4"/>
        <v>-4316528.6521690637</v>
      </c>
      <c r="P93" s="171">
        <f t="shared" si="5"/>
        <v>-3.2394123754480392E-2</v>
      </c>
      <c r="Q93" s="13">
        <f t="shared" si="6"/>
        <v>3.2394123754480392E-2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130481504.63014033</v>
      </c>
      <c r="O94" s="53">
        <f t="shared" si="4"/>
        <v>436994.63014034927</v>
      </c>
      <c r="P94" s="171">
        <f t="shared" si="5"/>
        <v>3.3603466239393674E-3</v>
      </c>
      <c r="Q94" s="13">
        <f t="shared" si="6"/>
        <v>3.3603466239393674E-3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118078671.17498285</v>
      </c>
      <c r="O95" s="53">
        <f t="shared" si="4"/>
        <v>-5814568.8250171542</v>
      </c>
      <c r="P95" s="171">
        <f t="shared" si="5"/>
        <v>-4.6932091089208372E-2</v>
      </c>
      <c r="Q95" s="13">
        <f t="shared" si="6"/>
        <v>4.6932091089208372E-2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125378700.22098482</v>
      </c>
      <c r="O96" s="53">
        <f t="shared" si="4"/>
        <v>-1726039.7790151834</v>
      </c>
      <c r="P96" s="171">
        <f t="shared" si="5"/>
        <v>-1.3579664920562234E-2</v>
      </c>
      <c r="Q96" s="13">
        <f t="shared" si="6"/>
        <v>1.3579664920562234E-2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122612894.65083118</v>
      </c>
      <c r="O97" s="53">
        <f t="shared" si="4"/>
        <v>-3984735.3491688222</v>
      </c>
      <c r="P97" s="171">
        <f t="shared" si="5"/>
        <v>-3.1475591993063552E-2</v>
      </c>
      <c r="Q97" s="13">
        <f t="shared" si="6"/>
        <v>3.1475591993063552E-2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131165656.23015438</v>
      </c>
      <c r="O98" s="53">
        <f t="shared" si="4"/>
        <v>1074966.2301543802</v>
      </c>
      <c r="P98" s="171">
        <f t="shared" si="5"/>
        <v>8.2632064612339299E-3</v>
      </c>
      <c r="Q98" s="13">
        <f t="shared" si="6"/>
        <v>8.2632064612339299E-3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137276645.4335441</v>
      </c>
      <c r="O99" s="53">
        <f t="shared" si="4"/>
        <v>-3265874.5664559007</v>
      </c>
      <c r="P99" s="171">
        <f t="shared" si="5"/>
        <v>-2.3237626352906583E-2</v>
      </c>
      <c r="Q99" s="13">
        <f t="shared" si="6"/>
        <v>2.3237626352906583E-2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125936663.03834786</v>
      </c>
      <c r="O100" s="53">
        <f t="shared" si="4"/>
        <v>-3444006.9616521448</v>
      </c>
      <c r="P100" s="171">
        <f t="shared" si="5"/>
        <v>-2.6619177050575985E-2</v>
      </c>
      <c r="Q100" s="13">
        <f t="shared" si="6"/>
        <v>2.6619177050575985E-2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129959722.08887319</v>
      </c>
      <c r="O101" s="53">
        <f t="shared" si="4"/>
        <v>-4669317.9111268073</v>
      </c>
      <c r="P101" s="171">
        <f t="shared" si="5"/>
        <v>-3.4682843397879144E-2</v>
      </c>
      <c r="Q101" s="13">
        <f t="shared" si="6"/>
        <v>3.4682843397879144E-2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121504273.59073965</v>
      </c>
      <c r="O102" s="53">
        <f t="shared" si="4"/>
        <v>-149876.40926033258</v>
      </c>
      <c r="P102" s="171">
        <f t="shared" si="5"/>
        <v>-1.2319876408682531E-3</v>
      </c>
      <c r="Q102" s="13">
        <f t="shared" si="6"/>
        <v>1.2319876408682531E-3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120814738.3872564</v>
      </c>
      <c r="O103" s="53">
        <f t="shared" si="4"/>
        <v>-3096821.6127436012</v>
      </c>
      <c r="P103" s="171">
        <f t="shared" si="5"/>
        <v>-2.4992192921658007E-2</v>
      </c>
      <c r="Q103" s="13">
        <f t="shared" si="6"/>
        <v>2.4992192921658007E-2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125513499.37616953</v>
      </c>
      <c r="O104" s="53">
        <f t="shared" si="4"/>
        <v>-3008010.6238304526</v>
      </c>
      <c r="P104" s="171">
        <f t="shared" si="5"/>
        <v>-2.3404725199933092E-2</v>
      </c>
      <c r="Q104" s="13">
        <f t="shared" si="6"/>
        <v>2.3404725199933092E-2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131960265.68166116</v>
      </c>
      <c r="O105" s="53">
        <f t="shared" si="4"/>
        <v>1457945.6816611588</v>
      </c>
      <c r="P105" s="171">
        <f t="shared" si="5"/>
        <v>1.1171798950862779E-2</v>
      </c>
      <c r="Q105" s="13">
        <f t="shared" si="6"/>
        <v>1.1171798950862779E-2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129420256.44799517</v>
      </c>
      <c r="O106" s="53">
        <f t="shared" si="4"/>
        <v>-5315903.552004829</v>
      </c>
      <c r="P106" s="171">
        <f t="shared" si="5"/>
        <v>-3.9454171411778614E-2</v>
      </c>
      <c r="Q106" s="13">
        <f t="shared" si="6"/>
        <v>3.9454171411778614E-2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123661806.87646212</v>
      </c>
      <c r="O107" s="53">
        <f t="shared" si="4"/>
        <v>-7516693.1235378832</v>
      </c>
      <c r="P107" s="171">
        <f t="shared" si="5"/>
        <v>-5.7301258388667987E-2</v>
      </c>
      <c r="Q107" s="13">
        <f t="shared" si="6"/>
        <v>5.7301258388667987E-2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125252426.80435298</v>
      </c>
      <c r="O108" s="53">
        <f t="shared" si="4"/>
        <v>-2027573.1956470162</v>
      </c>
      <c r="P108" s="171">
        <f t="shared" si="5"/>
        <v>-1.5930021964542868E-2</v>
      </c>
      <c r="Q108" s="13">
        <f t="shared" si="6"/>
        <v>1.5930021964542868E-2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130148691.87070104</v>
      </c>
      <c r="O109" s="53">
        <f t="shared" si="4"/>
        <v>-1250098.1292989552</v>
      </c>
      <c r="P109" s="171">
        <f t="shared" si="5"/>
        <v>-9.5137720012410699E-3</v>
      </c>
      <c r="Q109" s="13">
        <f t="shared" si="6"/>
        <v>9.5137720012410699E-3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137929108.66857153</v>
      </c>
      <c r="O110" s="53">
        <f t="shared" si="4"/>
        <v>1258398.6685715318</v>
      </c>
      <c r="P110" s="171">
        <f t="shared" si="5"/>
        <v>9.2075227279607447E-3</v>
      </c>
      <c r="Q110" s="13">
        <f t="shared" si="6"/>
        <v>9.2075227279607447E-3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138249394.65915012</v>
      </c>
      <c r="O111" s="53">
        <f t="shared" si="4"/>
        <v>-7377390.3408498764</v>
      </c>
      <c r="P111" s="171">
        <f t="shared" si="5"/>
        <v>-5.0659570221576175E-2</v>
      </c>
      <c r="Q111" s="13">
        <f t="shared" si="6"/>
        <v>5.0659570221576175E-2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132538321.22587751</v>
      </c>
      <c r="O112" s="53">
        <f t="shared" si="4"/>
        <v>2242615.2258775085</v>
      </c>
      <c r="P112" s="171">
        <f t="shared" si="5"/>
        <v>1.7211735480196933E-2</v>
      </c>
      <c r="Q112" s="13">
        <f t="shared" si="6"/>
        <v>1.7211735480196933E-2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136927414.19169667</v>
      </c>
      <c r="O113" s="53">
        <f t="shared" si="4"/>
        <v>-2502329.8083033264</v>
      </c>
      <c r="P113" s="171">
        <f t="shared" si="5"/>
        <v>-1.7946886629178108E-2</v>
      </c>
      <c r="Q113" s="13">
        <f t="shared" si="6"/>
        <v>1.7946886629178108E-2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127320364.97926188</v>
      </c>
      <c r="O114" s="53">
        <f t="shared" si="4"/>
        <v>1814644.9792618752</v>
      </c>
      <c r="P114" s="171">
        <f t="shared" si="5"/>
        <v>1.4458663551445107E-2</v>
      </c>
      <c r="Q114" s="13">
        <f t="shared" si="6"/>
        <v>1.4458663551445107E-2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127928589.22734314</v>
      </c>
      <c r="O115" s="53">
        <f t="shared" si="4"/>
        <v>1867875.227343142</v>
      </c>
      <c r="P115" s="171">
        <f t="shared" si="5"/>
        <v>1.4817266760389299E-2</v>
      </c>
      <c r="Q115" s="13">
        <f t="shared" si="6"/>
        <v>1.4817266760389299E-2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146921809.16552457</v>
      </c>
      <c r="O116" s="53">
        <f t="shared" si="4"/>
        <v>-1284050.8344754279</v>
      </c>
      <c r="P116" s="171">
        <f t="shared" si="5"/>
        <v>-8.6639680406390661E-3</v>
      </c>
      <c r="Q116" s="13">
        <f t="shared" si="6"/>
        <v>8.6639680406390661E-3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145820278.93945572</v>
      </c>
      <c r="O117" s="53">
        <f t="shared" si="4"/>
        <v>1350138.9394557178</v>
      </c>
      <c r="P117" s="171">
        <f t="shared" si="5"/>
        <v>9.3454532504482785E-3</v>
      </c>
      <c r="Q117" s="13">
        <f t="shared" si="6"/>
        <v>9.3454532504482785E-3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142410282.15698972</v>
      </c>
      <c r="O118" s="53">
        <f t="shared" si="4"/>
        <v>-6954260.8430102766</v>
      </c>
      <c r="P118" s="171">
        <f t="shared" si="5"/>
        <v>-4.6558980487158029E-2</v>
      </c>
      <c r="Q118" s="13">
        <f t="shared" si="6"/>
        <v>4.6558980487158029E-2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127708595.04730521</v>
      </c>
      <c r="O119" s="53">
        <f t="shared" si="4"/>
        <v>-4214540.9526947886</v>
      </c>
      <c r="P119" s="171">
        <f t="shared" si="5"/>
        <v>-3.1946943352641255E-2</v>
      </c>
      <c r="Q119" s="13">
        <f t="shared" si="6"/>
        <v>3.1946943352641255E-2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129227104.96867049</v>
      </c>
      <c r="O120" s="53">
        <f t="shared" si="4"/>
        <v>-200982.0313295126</v>
      </c>
      <c r="P120" s="171">
        <f t="shared" si="5"/>
        <v>-1.5528471136988418E-3</v>
      </c>
      <c r="Q120" s="13">
        <f t="shared" si="6"/>
        <v>1.5528471136988418E-3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133046363.36179629</v>
      </c>
      <c r="O121" s="53">
        <f t="shared" si="4"/>
        <v>-379442.63820371032</v>
      </c>
      <c r="P121" s="171">
        <f t="shared" si="5"/>
        <v>-2.8438474503478758E-3</v>
      </c>
      <c r="Q121" s="13">
        <f t="shared" si="6"/>
        <v>2.8438474503478758E-3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139139463.1252242</v>
      </c>
      <c r="O122" s="53">
        <f t="shared" si="4"/>
        <v>1887042.1252242029</v>
      </c>
      <c r="P122" s="171">
        <f t="shared" si="5"/>
        <v>1.3748698285068523E-2</v>
      </c>
      <c r="Q122" s="13">
        <f t="shared" si="6"/>
        <v>1.3748698285068523E-2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23421.741792205998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138398830.95478958</v>
      </c>
      <c r="O123" s="53">
        <f t="shared" si="4"/>
        <v>-1085164.0452104211</v>
      </c>
      <c r="P123" s="171">
        <f t="shared" si="5"/>
        <v>-7.7798463200772321E-3</v>
      </c>
      <c r="Q123" s="13">
        <f t="shared" si="6"/>
        <v>7.7798463200772321E-3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46843.483584411995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133071676.33430028</v>
      </c>
      <c r="O124" s="53">
        <f t="shared" si="4"/>
        <v>3781169.3343002796</v>
      </c>
      <c r="P124" s="171">
        <f t="shared" si="5"/>
        <v>2.9245529482688777E-2</v>
      </c>
      <c r="Q124" s="13">
        <f t="shared" si="6"/>
        <v>2.9245529482688777E-2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70265.225376617993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138929635.47255671</v>
      </c>
      <c r="O125" s="53">
        <f t="shared" si="4"/>
        <v>765568.47255671024</v>
      </c>
      <c r="P125" s="171">
        <f t="shared" si="5"/>
        <v>5.5410099686535015E-3</v>
      </c>
      <c r="Q125" s="13">
        <f t="shared" si="6"/>
        <v>5.5410099686535015E-3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93686.967168823991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125952124.10927297</v>
      </c>
      <c r="O126" s="53">
        <f t="shared" si="4"/>
        <v>4952316.1092729717</v>
      </c>
      <c r="P126" s="171">
        <f t="shared" si="5"/>
        <v>4.0928297252116067E-2</v>
      </c>
      <c r="Q126" s="13">
        <f t="shared" si="6"/>
        <v>4.0928297252116067E-2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117108.70896102999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134359112.19394016</v>
      </c>
      <c r="O127" s="53">
        <f t="shared" si="4"/>
        <v>4213388.1939401627</v>
      </c>
      <c r="P127" s="171">
        <f t="shared" si="5"/>
        <v>3.2374388219932319E-2</v>
      </c>
      <c r="Q127" s="13">
        <f t="shared" si="6"/>
        <v>3.2374388219932319E-2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140530.45075323599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135565552.35330755</v>
      </c>
      <c r="O128" s="53">
        <f t="shared" si="4"/>
        <v>-837255.64669245481</v>
      </c>
      <c r="P128" s="171">
        <f t="shared" si="5"/>
        <v>-6.1381115166812021E-3</v>
      </c>
      <c r="Q128" s="13">
        <f t="shared" si="6"/>
        <v>6.1381115166812021E-3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163952.19254544197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150424218.41985995</v>
      </c>
      <c r="O129" s="53">
        <f t="shared" si="4"/>
        <v>5557623.4198599458</v>
      </c>
      <c r="P129" s="171">
        <f t="shared" si="5"/>
        <v>3.8363733335900839E-2</v>
      </c>
      <c r="Q129" s="13">
        <f t="shared" si="6"/>
        <v>3.8363733335900839E-2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187373.93433764798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140552429.72995025</v>
      </c>
      <c r="O130" s="53">
        <f t="shared" si="4"/>
        <v>-2682988.2700497508</v>
      </c>
      <c r="P130" s="171">
        <f t="shared" si="5"/>
        <v>-1.873131874443059E-2</v>
      </c>
      <c r="Q130" s="13">
        <f t="shared" si="6"/>
        <v>1.873131874443059E-2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210795.67612985399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127482359.27576585</v>
      </c>
      <c r="O131" s="53">
        <f t="shared" ref="O131:O194" si="8">N131-B131</f>
        <v>3131934.2757658511</v>
      </c>
      <c r="P131" s="171">
        <f t="shared" ref="P131:P194" si="9">O131/B131</f>
        <v>2.518635763219829E-2</v>
      </c>
      <c r="Q131" s="13">
        <f t="shared" si="6"/>
        <v>2.518635763219829E-2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234217.41792206001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135041293.44800174</v>
      </c>
      <c r="O132" s="53">
        <f t="shared" si="8"/>
        <v>5180994.4480017424</v>
      </c>
      <c r="P132" s="171">
        <f t="shared" si="9"/>
        <v>3.9896677336325417E-2</v>
      </c>
      <c r="Q132" s="13">
        <f t="shared" ref="Q132:Q195" si="10">ABS(P132)</f>
        <v>3.9896677336325417E-2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257639.15971426602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136583497.15351197</v>
      </c>
      <c r="O133" s="53">
        <f t="shared" si="8"/>
        <v>5284071.1535119712</v>
      </c>
      <c r="P133" s="171">
        <f t="shared" si="9"/>
        <v>4.0244434530216235E-2</v>
      </c>
      <c r="Q133" s="13">
        <f t="shared" si="10"/>
        <v>4.0244434530216235E-2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281060.90150647203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137665492.89690253</v>
      </c>
      <c r="O134" s="53">
        <f t="shared" si="8"/>
        <v>6404520.8969025314</v>
      </c>
      <c r="P134" s="171">
        <f t="shared" si="9"/>
        <v>4.8792270842718817E-2</v>
      </c>
      <c r="Q134" s="13">
        <f t="shared" si="10"/>
        <v>4.8792270842718817E-2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301054.57794119004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143756834.67941064</v>
      </c>
      <c r="O135" s="53">
        <f t="shared" si="8"/>
        <v>1805837.6794106364</v>
      </c>
      <c r="P135" s="171">
        <f t="shared" si="9"/>
        <v>1.2721556858178575E-2</v>
      </c>
      <c r="Q135" s="13">
        <f t="shared" si="10"/>
        <v>1.2721556858178575E-2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321048.25437590806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136503911.82466128</v>
      </c>
      <c r="O136" s="53">
        <f t="shared" si="8"/>
        <v>2424577.8246612847</v>
      </c>
      <c r="P136" s="171">
        <f t="shared" si="9"/>
        <v>1.8083158323722617E-2</v>
      </c>
      <c r="Q136" s="13">
        <f t="shared" si="10"/>
        <v>1.8083158323722617E-2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341041.93081062607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137709793.32784203</v>
      </c>
      <c r="O137" s="53">
        <f t="shared" si="8"/>
        <v>587642.32784202695</v>
      </c>
      <c r="P137" s="171">
        <f t="shared" si="9"/>
        <v>4.2855390143495264E-3</v>
      </c>
      <c r="Q137" s="13">
        <f t="shared" si="10"/>
        <v>4.2855390143495264E-3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361035.60724534409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127951272.01032317</v>
      </c>
      <c r="O138" s="53">
        <f t="shared" si="8"/>
        <v>3194093.0103231668</v>
      </c>
      <c r="P138" s="171">
        <f t="shared" si="9"/>
        <v>2.5602478638308796E-2</v>
      </c>
      <c r="Q138" s="13">
        <f t="shared" si="10"/>
        <v>2.5602478638308796E-2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381029.2836800621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129718908.59924315</v>
      </c>
      <c r="O139" s="53">
        <f t="shared" si="8"/>
        <v>996510.59924314916</v>
      </c>
      <c r="P139" s="171">
        <f t="shared" si="9"/>
        <v>7.7415478170562765E-3</v>
      </c>
      <c r="Q139" s="13">
        <f t="shared" si="10"/>
        <v>7.7415478170562765E-3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401022.96011478011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133876917.17411137</v>
      </c>
      <c r="O140" s="53">
        <f t="shared" si="8"/>
        <v>-5521079.8258886337</v>
      </c>
      <c r="P140" s="171">
        <f t="shared" si="9"/>
        <v>-3.9606593672136002E-2</v>
      </c>
      <c r="Q140" s="13">
        <f t="shared" si="10"/>
        <v>3.9606593672136002E-2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421016.63654949813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137166247.58715224</v>
      </c>
      <c r="O141" s="53">
        <f t="shared" si="8"/>
        <v>2814260.5871522427</v>
      </c>
      <c r="P141" s="171">
        <f t="shared" si="9"/>
        <v>2.094692196217569E-2</v>
      </c>
      <c r="Q141" s="13">
        <f t="shared" si="10"/>
        <v>2.094692196217569E-2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441010.31298421614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141124892.87755823</v>
      </c>
      <c r="O142" s="53">
        <f t="shared" si="8"/>
        <v>-4364401.1224417686</v>
      </c>
      <c r="P142" s="171">
        <f t="shared" si="9"/>
        <v>-2.9998091285271949E-2</v>
      </c>
      <c r="Q142" s="13">
        <f t="shared" si="10"/>
        <v>2.9998091285271949E-2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461003.98941893416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126789635.89499302</v>
      </c>
      <c r="O143" s="53">
        <f t="shared" si="8"/>
        <v>-1338098.1050069779</v>
      </c>
      <c r="P143" s="171">
        <f t="shared" si="9"/>
        <v>-1.0443469678523916E-2</v>
      </c>
      <c r="Q143" s="13">
        <f t="shared" si="10"/>
        <v>1.0443469678523916E-2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480997.66585365217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132612912.0732803</v>
      </c>
      <c r="O144" s="53">
        <f t="shared" si="8"/>
        <v>2417502.0732803047</v>
      </c>
      <c r="P144" s="171">
        <f t="shared" si="9"/>
        <v>1.8568258844764995E-2</v>
      </c>
      <c r="Q144" s="13">
        <f t="shared" si="10"/>
        <v>1.8568258844764995E-2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500991.34228837019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136725422.05125508</v>
      </c>
      <c r="O145" s="53">
        <f t="shared" si="8"/>
        <v>4440062.0512550771</v>
      </c>
      <c r="P145" s="171">
        <f t="shared" si="9"/>
        <v>3.356427386413037E-2</v>
      </c>
      <c r="Q145" s="13">
        <f t="shared" si="10"/>
        <v>3.356427386413037E-2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520985.0187230882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138860570.53823832</v>
      </c>
      <c r="O146" s="53">
        <f t="shared" si="8"/>
        <v>6146488.5382383168</v>
      </c>
      <c r="P146" s="171">
        <f t="shared" si="9"/>
        <v>4.6313762982878613E-2</v>
      </c>
      <c r="Q146" s="13">
        <f t="shared" si="10"/>
        <v>4.6313762982878613E-2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533133.78983730474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141413214.71276823</v>
      </c>
      <c r="O147" s="53">
        <f t="shared" si="8"/>
        <v>1371793.7127682269</v>
      </c>
      <c r="P147" s="171">
        <f t="shared" si="9"/>
        <v>9.7956283431901679E-3</v>
      </c>
      <c r="Q147" s="13">
        <f t="shared" si="10"/>
        <v>9.7956283431901679E-3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545282.56095152127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131833558.06699833</v>
      </c>
      <c r="O148" s="53">
        <f t="shared" si="8"/>
        <v>-817568.93300166726</v>
      </c>
      <c r="P148" s="171">
        <f t="shared" si="9"/>
        <v>-6.1633018240521038E-3</v>
      </c>
      <c r="Q148" s="13">
        <f t="shared" si="10"/>
        <v>6.1633018240521038E-3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557431.33206573781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132384618.6485558</v>
      </c>
      <c r="O149" s="53">
        <f t="shared" si="8"/>
        <v>-1072755.3514441997</v>
      </c>
      <c r="P149" s="171">
        <f t="shared" si="9"/>
        <v>-8.0381871701162028E-3</v>
      </c>
      <c r="Q149" s="13">
        <f t="shared" si="10"/>
        <v>8.0381871701162028E-3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569580.10317995434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127348534.34950708</v>
      </c>
      <c r="O150" s="53">
        <f t="shared" si="8"/>
        <v>4752328.3495070785</v>
      </c>
      <c r="P150" s="171">
        <f t="shared" si="9"/>
        <v>3.8764073575874594E-2</v>
      </c>
      <c r="Q150" s="13">
        <f t="shared" si="10"/>
        <v>3.8764073575874594E-2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581728.87429417088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126478531.53460397</v>
      </c>
      <c r="O151" s="53">
        <f t="shared" si="8"/>
        <v>5358364.5346039683</v>
      </c>
      <c r="P151" s="171">
        <f t="shared" si="9"/>
        <v>4.424006891110023E-2</v>
      </c>
      <c r="Q151" s="13">
        <f t="shared" si="10"/>
        <v>4.424006891110023E-2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593877.64540838741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133616052.91830327</v>
      </c>
      <c r="O152" s="53">
        <f t="shared" si="8"/>
        <v>3177937.9183032662</v>
      </c>
      <c r="P152" s="171">
        <f t="shared" si="9"/>
        <v>2.4363568258428652E-2</v>
      </c>
      <c r="Q152" s="13">
        <f t="shared" si="10"/>
        <v>2.4363568258428652E-2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606026.41652260395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141794535.03952301</v>
      </c>
      <c r="O153" s="53">
        <f t="shared" si="8"/>
        <v>2100587.0395230055</v>
      </c>
      <c r="P153" s="171">
        <f t="shared" si="9"/>
        <v>1.5037065453422545E-2</v>
      </c>
      <c r="Q153" s="13">
        <f t="shared" si="10"/>
        <v>1.5037065453422545E-2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618175.18763682048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130641218.11577363</v>
      </c>
      <c r="O154" s="53">
        <f t="shared" si="8"/>
        <v>-1301943.8842263669</v>
      </c>
      <c r="P154" s="171">
        <f t="shared" si="9"/>
        <v>-9.8674600827465906E-3</v>
      </c>
      <c r="Q154" s="13">
        <f t="shared" si="10"/>
        <v>9.8674600827465906E-3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630323.95875103702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127640324.3082706</v>
      </c>
      <c r="O155" s="53">
        <f t="shared" si="8"/>
        <v>1214499.3082706034</v>
      </c>
      <c r="P155" s="171">
        <f t="shared" si="9"/>
        <v>9.6064178997495447E-3</v>
      </c>
      <c r="Q155" s="13">
        <f t="shared" si="10"/>
        <v>9.6064178997495447E-3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642472.72986525355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134121989.61954355</v>
      </c>
      <c r="O156" s="53">
        <f t="shared" si="8"/>
        <v>8493446.6195435524</v>
      </c>
      <c r="P156" s="171">
        <f t="shared" si="9"/>
        <v>6.7607618593041804E-2</v>
      </c>
      <c r="Q156" s="13">
        <f t="shared" si="10"/>
        <v>6.7607618593041804E-2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654621.50097947009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132066095.04055357</v>
      </c>
      <c r="O157" s="53">
        <f t="shared" si="8"/>
        <v>7027434.0405535698</v>
      </c>
      <c r="P157" s="171">
        <f t="shared" si="9"/>
        <v>5.6202089692511739E-2</v>
      </c>
      <c r="Q157" s="13">
        <f t="shared" si="10"/>
        <v>5.6202089692511739E-2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666770.27209368662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141884992.58917096</v>
      </c>
      <c r="O158" s="53">
        <f t="shared" si="8"/>
        <v>13396312.589170963</v>
      </c>
      <c r="P158" s="171">
        <f t="shared" si="9"/>
        <v>0.10426064451102589</v>
      </c>
      <c r="Q158" s="13">
        <f t="shared" si="10"/>
        <v>0.10426064451102589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709773.03017770033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135504855.37690324</v>
      </c>
      <c r="O159" s="53">
        <f t="shared" si="8"/>
        <v>2619856.3769032359</v>
      </c>
      <c r="P159" s="171">
        <f t="shared" si="9"/>
        <v>1.9715215386375072E-2</v>
      </c>
      <c r="Q159" s="13">
        <f t="shared" si="10"/>
        <v>1.9715215386375072E-2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752775.78826171404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121339332.7633023</v>
      </c>
      <c r="O160" s="53">
        <f t="shared" si="8"/>
        <v>3694218.7633022964</v>
      </c>
      <c r="P160" s="171">
        <f t="shared" si="9"/>
        <v>3.1401378584258899E-2</v>
      </c>
      <c r="Q160" s="13">
        <f t="shared" si="10"/>
        <v>3.1401378584258899E-2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795778.54634572775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123590159.32225068</v>
      </c>
      <c r="O161" s="53">
        <f t="shared" si="8"/>
        <v>-1329104.6777493209</v>
      </c>
      <c r="P161" s="171">
        <f t="shared" si="9"/>
        <v>-1.0639709482672911E-2</v>
      </c>
      <c r="Q161" s="13">
        <f t="shared" si="10"/>
        <v>1.0639709482672911E-2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838781.30442974146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113658253.84963508</v>
      </c>
      <c r="O162" s="53">
        <f t="shared" si="8"/>
        <v>244599.8496350795</v>
      </c>
      <c r="P162" s="171">
        <f t="shared" si="9"/>
        <v>2.156705484818252E-3</v>
      </c>
      <c r="Q162" s="13">
        <f t="shared" si="10"/>
        <v>2.156705484818252E-3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881784.06251375517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111565512.67219052</v>
      </c>
      <c r="O163" s="53">
        <f t="shared" si="8"/>
        <v>884148.67219051719</v>
      </c>
      <c r="P163" s="171">
        <f t="shared" si="9"/>
        <v>7.9882343353711947E-3</v>
      </c>
      <c r="Q163" s="13">
        <f t="shared" si="10"/>
        <v>7.9882343353711947E-3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924786.82059776888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118616976.48638627</v>
      </c>
      <c r="O164" s="53">
        <f t="shared" si="8"/>
        <v>491251.48638626933</v>
      </c>
      <c r="P164" s="171">
        <f t="shared" si="9"/>
        <v>4.1587172174923741E-3</v>
      </c>
      <c r="Q164" s="13">
        <f t="shared" si="10"/>
        <v>4.1587172174923741E-3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967789.57868178259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118203361.64368893</v>
      </c>
      <c r="O165" s="53">
        <f t="shared" si="8"/>
        <v>277574.64368893206</v>
      </c>
      <c r="P165" s="171">
        <f t="shared" si="9"/>
        <v>2.3538078545020189E-3</v>
      </c>
      <c r="Q165" s="13">
        <f t="shared" si="10"/>
        <v>2.3538078545020189E-3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1010792.3367657963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123921290.50115147</v>
      </c>
      <c r="O166" s="53">
        <f t="shared" si="8"/>
        <v>-5835366.4988485277</v>
      </c>
      <c r="P166" s="171">
        <f t="shared" si="9"/>
        <v>-4.4971615590008056E-2</v>
      </c>
      <c r="Q166" s="13">
        <f t="shared" si="10"/>
        <v>4.4971615590008056E-2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1053795.09484981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113400126.82823333</v>
      </c>
      <c r="O167" s="53">
        <f t="shared" si="8"/>
        <v>-4320245.1717666686</v>
      </c>
      <c r="P167" s="171">
        <f t="shared" si="9"/>
        <v>-3.669921440417015E-2</v>
      </c>
      <c r="Q167" s="13">
        <f t="shared" si="10"/>
        <v>3.669921440417015E-2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1096797.8529338236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119208284.61836886</v>
      </c>
      <c r="O168" s="53">
        <f t="shared" si="8"/>
        <v>-457519.38163113594</v>
      </c>
      <c r="P168" s="171">
        <f t="shared" si="9"/>
        <v>-3.8233093025567765E-3</v>
      </c>
      <c r="Q168" s="13">
        <f t="shared" si="10"/>
        <v>3.8233093025567765E-3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1139800.6110178372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116941227.32980731</v>
      </c>
      <c r="O169" s="53">
        <f t="shared" si="8"/>
        <v>-2097835.6701926887</v>
      </c>
      <c r="P169" s="171">
        <f t="shared" si="9"/>
        <v>-1.7623086214923322E-2</v>
      </c>
      <c r="Q169" s="13">
        <f t="shared" si="10"/>
        <v>1.7623086214923322E-2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1182803.3691018508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128509987.52370118</v>
      </c>
      <c r="O170" s="53">
        <f t="shared" si="8"/>
        <v>-67055.476298823953</v>
      </c>
      <c r="P170" s="171">
        <f t="shared" si="9"/>
        <v>-5.2151981982369864E-4</v>
      </c>
      <c r="Q170" s="13">
        <f t="shared" si="10"/>
        <v>5.2151981982369864E-4</v>
      </c>
    </row>
    <row r="171" spans="1:17" x14ac:dyDescent="0.2">
      <c r="A171" s="54">
        <f t="shared" si="11"/>
        <v>40209</v>
      </c>
      <c r="B171" s="161">
        <v>134104887</v>
      </c>
      <c r="C171" s="23">
        <v>727.1</v>
      </c>
      <c r="D171" s="23"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1207627.1711869936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127253006.35078485</v>
      </c>
      <c r="O171" s="53">
        <f t="shared" si="8"/>
        <v>-6851880.6492151469</v>
      </c>
      <c r="P171" s="171">
        <f t="shared" si="9"/>
        <v>-5.1093444858688462E-2</v>
      </c>
      <c r="Q171" s="13">
        <f t="shared" si="10"/>
        <v>5.1093444858688462E-2</v>
      </c>
    </row>
    <row r="172" spans="1:17" x14ac:dyDescent="0.2">
      <c r="A172" s="54">
        <f t="shared" si="11"/>
        <v>40237</v>
      </c>
      <c r="B172" s="27">
        <v>119717521</v>
      </c>
      <c r="C172" s="23">
        <v>644.70000000000005</v>
      </c>
      <c r="D172" s="23"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1232450.9732721364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118338058.61052926</v>
      </c>
      <c r="O172" s="53">
        <f t="shared" si="8"/>
        <v>-1379462.3894707412</v>
      </c>
      <c r="P172" s="171">
        <f t="shared" si="9"/>
        <v>-1.1522644120493784E-2</v>
      </c>
      <c r="Q172" s="13">
        <f t="shared" si="10"/>
        <v>1.1522644120493784E-2</v>
      </c>
    </row>
    <row r="173" spans="1:17" x14ac:dyDescent="0.2">
      <c r="A173" s="54">
        <f t="shared" si="11"/>
        <v>40268</v>
      </c>
      <c r="B173" s="27">
        <v>125455107</v>
      </c>
      <c r="C173" s="23">
        <v>470.9</v>
      </c>
      <c r="D173" s="23"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1257274.7753572792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123816423.99944039</v>
      </c>
      <c r="O173" s="53">
        <f t="shared" si="8"/>
        <v>-1638683.0005596131</v>
      </c>
      <c r="P173" s="171">
        <f t="shared" si="9"/>
        <v>-1.306190748025597E-2</v>
      </c>
      <c r="Q173" s="13">
        <f t="shared" si="10"/>
        <v>1.306190748025597E-2</v>
      </c>
    </row>
    <row r="174" spans="1:17" x14ac:dyDescent="0.2">
      <c r="A174" s="54">
        <f t="shared" si="11"/>
        <v>40298</v>
      </c>
      <c r="B174" s="27">
        <v>112822227</v>
      </c>
      <c r="C174" s="23">
        <v>255.7</v>
      </c>
      <c r="D174" s="23"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1282098.577442422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113333619.51430276</v>
      </c>
      <c r="O174" s="53">
        <f t="shared" si="8"/>
        <v>511392.51430276036</v>
      </c>
      <c r="P174" s="171">
        <f t="shared" si="9"/>
        <v>4.5327284162079194E-3</v>
      </c>
      <c r="Q174" s="13">
        <f t="shared" si="10"/>
        <v>4.5327284162079194E-3</v>
      </c>
    </row>
    <row r="175" spans="1:17" x14ac:dyDescent="0.2">
      <c r="A175" s="54">
        <f t="shared" si="11"/>
        <v>40329</v>
      </c>
      <c r="B175" s="27">
        <v>122392253</v>
      </c>
      <c r="C175" s="23">
        <v>144.69999999999999</v>
      </c>
      <c r="D175" s="23"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1306922.3795275649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118220532.90091264</v>
      </c>
      <c r="O175" s="53">
        <f t="shared" si="8"/>
        <v>-4171720.0990873575</v>
      </c>
      <c r="P175" s="171">
        <f t="shared" si="9"/>
        <v>-3.4084837862142774E-2</v>
      </c>
      <c r="Q175" s="13">
        <f t="shared" si="10"/>
        <v>3.4084837862142774E-2</v>
      </c>
    </row>
    <row r="176" spans="1:17" x14ac:dyDescent="0.2">
      <c r="A176" s="54">
        <f t="shared" si="11"/>
        <v>40359</v>
      </c>
      <c r="B176" s="27">
        <v>127582818</v>
      </c>
      <c r="C176" s="23">
        <v>37.700000000000003</v>
      </c>
      <c r="D176" s="23">
        <v>26.8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1331746.1816127077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122828216.24737301</v>
      </c>
      <c r="O176" s="53">
        <f t="shared" si="8"/>
        <v>-4754601.7526269853</v>
      </c>
      <c r="P176" s="171">
        <f t="shared" si="9"/>
        <v>-3.7266787386895511E-2</v>
      </c>
      <c r="Q176" s="13">
        <f t="shared" si="10"/>
        <v>3.7266787386895511E-2</v>
      </c>
    </row>
    <row r="177" spans="1:17" x14ac:dyDescent="0.2">
      <c r="A177" s="54">
        <f t="shared" si="11"/>
        <v>40390</v>
      </c>
      <c r="B177" s="27">
        <v>140727870</v>
      </c>
      <c r="C177" s="23">
        <v>6.7</v>
      </c>
      <c r="D177" s="23">
        <v>100.6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1356569.9836978505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138424672.63887307</v>
      </c>
      <c r="O177" s="53">
        <f t="shared" si="8"/>
        <v>-2303197.3611269295</v>
      </c>
      <c r="P177" s="171">
        <f t="shared" si="9"/>
        <v>-1.6366320055344614E-2</v>
      </c>
      <c r="Q177" s="13">
        <f t="shared" si="10"/>
        <v>1.6366320055344614E-2</v>
      </c>
    </row>
    <row r="178" spans="1:17" x14ac:dyDescent="0.2">
      <c r="A178" s="54">
        <f t="shared" si="11"/>
        <v>40421</v>
      </c>
      <c r="B178" s="27">
        <v>139365541</v>
      </c>
      <c r="C178" s="23">
        <v>9.6999999999999993</v>
      </c>
      <c r="D178" s="23">
        <v>79.2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1381393.7857829933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134765321.79407689</v>
      </c>
      <c r="O178" s="53">
        <f t="shared" si="8"/>
        <v>-4600219.2059231102</v>
      </c>
      <c r="P178" s="171">
        <f t="shared" si="9"/>
        <v>-3.3008297265700065E-2</v>
      </c>
      <c r="Q178" s="13">
        <f t="shared" si="10"/>
        <v>3.3008297265700065E-2</v>
      </c>
    </row>
    <row r="179" spans="1:17" x14ac:dyDescent="0.2">
      <c r="A179" s="54">
        <f t="shared" si="11"/>
        <v>40451</v>
      </c>
      <c r="B179" s="27">
        <v>119162847</v>
      </c>
      <c r="C179" s="23">
        <v>122.7</v>
      </c>
      <c r="D179" s="23"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1406217.5878681361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120847841.83675122</v>
      </c>
      <c r="O179" s="53">
        <f t="shared" si="8"/>
        <v>1684994.8367512226</v>
      </c>
      <c r="P179" s="171">
        <f t="shared" si="9"/>
        <v>1.4140270052050893E-2</v>
      </c>
      <c r="Q179" s="13">
        <f t="shared" si="10"/>
        <v>1.4140270052050893E-2</v>
      </c>
    </row>
    <row r="180" spans="1:17" x14ac:dyDescent="0.2">
      <c r="A180" s="54">
        <f t="shared" si="11"/>
        <v>40482</v>
      </c>
      <c r="B180" s="27">
        <v>117558713</v>
      </c>
      <c r="C180" s="23">
        <v>279.60000000000002</v>
      </c>
      <c r="D180" s="23"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1431041.3899532789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119557802.71404749</v>
      </c>
      <c r="O180" s="53">
        <f t="shared" si="8"/>
        <v>1999089.7140474916</v>
      </c>
      <c r="P180" s="171">
        <f t="shared" si="9"/>
        <v>1.7005032319871445E-2</v>
      </c>
      <c r="Q180" s="13">
        <f t="shared" si="10"/>
        <v>1.7005032319871445E-2</v>
      </c>
    </row>
    <row r="181" spans="1:17" x14ac:dyDescent="0.2">
      <c r="A181" s="54">
        <f t="shared" si="11"/>
        <v>40512</v>
      </c>
      <c r="B181" s="27">
        <v>122844772</v>
      </c>
      <c r="C181" s="23">
        <v>337.9</v>
      </c>
      <c r="D181" s="23"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1455865.1920384218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120403204.70609066</v>
      </c>
      <c r="O181" s="53">
        <f t="shared" si="8"/>
        <v>-2441567.2939093411</v>
      </c>
      <c r="P181" s="171">
        <f t="shared" si="9"/>
        <v>-1.9875223456064871E-2</v>
      </c>
      <c r="Q181" s="13">
        <f t="shared" si="10"/>
        <v>1.9875223456064871E-2</v>
      </c>
    </row>
    <row r="182" spans="1:17" x14ac:dyDescent="0.2">
      <c r="A182" s="54">
        <f t="shared" si="11"/>
        <v>40543</v>
      </c>
      <c r="B182" s="27">
        <v>131431074</v>
      </c>
      <c r="C182" s="23">
        <v>719.4</v>
      </c>
      <c r="D182" s="23"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1480688.9941235646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134622638.67454782</v>
      </c>
      <c r="O182" s="53">
        <f t="shared" si="8"/>
        <v>3191564.6745478213</v>
      </c>
      <c r="P182" s="171">
        <f t="shared" si="9"/>
        <v>2.4283181879407159E-2</v>
      </c>
      <c r="Q182" s="13">
        <f t="shared" si="10"/>
        <v>2.4283181879407159E-2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v>770</v>
      </c>
      <c r="D183" s="23"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1592898.8024259633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133937295.33128126</v>
      </c>
      <c r="O183" s="53">
        <f t="shared" si="8"/>
        <v>-2213321.4778854102</v>
      </c>
      <c r="P183" s="171">
        <f t="shared" si="9"/>
        <v>-1.6256419028844185E-2</v>
      </c>
      <c r="Q183" s="13">
        <f t="shared" si="10"/>
        <v>1.6256419028844185E-2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v>640.79999999999995</v>
      </c>
      <c r="D184" s="23"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1705108.6107283621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123064248.7254484</v>
      </c>
      <c r="O184" s="53">
        <f t="shared" si="8"/>
        <v>300917.91628172994</v>
      </c>
      <c r="P184" s="171">
        <f t="shared" si="9"/>
        <v>2.4512035825217326E-3</v>
      </c>
      <c r="Q184" s="13">
        <f t="shared" si="10"/>
        <v>2.4512035825217326E-3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v>605.29999999999995</v>
      </c>
      <c r="D185" s="23"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1817318.4190307609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132601678.37807158</v>
      </c>
      <c r="O185" s="53">
        <f t="shared" si="8"/>
        <v>1357893.5689049065</v>
      </c>
      <c r="P185" s="171">
        <f t="shared" si="9"/>
        <v>1.0346345702231417E-2</v>
      </c>
      <c r="Q185" s="13">
        <f t="shared" si="10"/>
        <v>1.0346345702231417E-2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v>298.7</v>
      </c>
      <c r="D186" s="23"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1929528.2273331597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120595349.72514728</v>
      </c>
      <c r="O186" s="53">
        <f t="shared" si="8"/>
        <v>5827658.9159806073</v>
      </c>
      <c r="P186" s="171">
        <f t="shared" si="9"/>
        <v>5.0777870277713591E-2</v>
      </c>
      <c r="Q186" s="13">
        <f t="shared" si="10"/>
        <v>5.0777870277713591E-2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v>148.69999999999999</v>
      </c>
      <c r="D187" s="23"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2041738.0356355584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123740602.2870013</v>
      </c>
      <c r="O187" s="53">
        <f t="shared" si="8"/>
        <v>9419073.477834627</v>
      </c>
      <c r="P187" s="171">
        <f t="shared" si="9"/>
        <v>8.2391073457017794E-2</v>
      </c>
      <c r="Q187" s="13">
        <f t="shared" si="10"/>
        <v>8.2391073457017794E-2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v>48.5</v>
      </c>
      <c r="D188" s="23">
        <v>21.6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2153947.8439379572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126330230.36333689</v>
      </c>
      <c r="O188" s="53">
        <f t="shared" si="8"/>
        <v>1598518.5541702211</v>
      </c>
      <c r="P188" s="171">
        <f t="shared" si="9"/>
        <v>1.2815654743966596E-2</v>
      </c>
      <c r="Q188" s="13">
        <f t="shared" si="10"/>
        <v>1.2815654743966596E-2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v>0.8</v>
      </c>
      <c r="D189" s="23"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2266157.652240356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145739406.87609884</v>
      </c>
      <c r="O189" s="53">
        <f t="shared" si="8"/>
        <v>1352319.0669321716</v>
      </c>
      <c r="P189" s="171">
        <f t="shared" si="9"/>
        <v>9.3659279887928961E-3</v>
      </c>
      <c r="Q189" s="13">
        <f t="shared" si="10"/>
        <v>9.3659279887928961E-3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v>6.9</v>
      </c>
      <c r="D190" s="23"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2378367.4605427547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134455877.48007083</v>
      </c>
      <c r="O190" s="53">
        <f t="shared" si="8"/>
        <v>-3484731.3290958405</v>
      </c>
      <c r="P190" s="171">
        <f t="shared" si="9"/>
        <v>-2.526254856477237E-2</v>
      </c>
      <c r="Q190" s="13">
        <f t="shared" si="10"/>
        <v>2.526254856477237E-2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v>88.9</v>
      </c>
      <c r="D191" s="23"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2490577.2688451535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122480765.87120661</v>
      </c>
      <c r="O191" s="53">
        <f t="shared" si="8"/>
        <v>551118.06203994155</v>
      </c>
      <c r="P191" s="171">
        <f t="shared" si="9"/>
        <v>4.5199676366038718E-3</v>
      </c>
      <c r="Q191" s="13">
        <f t="shared" si="10"/>
        <v>4.5199676366038718E-3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v>279.89999999999998</v>
      </c>
      <c r="D192" s="23"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2602787.0771475523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121368300.3896172</v>
      </c>
      <c r="O192" s="53">
        <f t="shared" si="8"/>
        <v>1310400.5804505348</v>
      </c>
      <c r="P192" s="171">
        <f t="shared" si="9"/>
        <v>1.0914738493122324E-2</v>
      </c>
      <c r="Q192" s="13">
        <f t="shared" si="10"/>
        <v>1.0914738493122324E-2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v>382.4</v>
      </c>
      <c r="D193" s="23"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2714996.885449951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124184964.57987577</v>
      </c>
      <c r="O193" s="53">
        <f t="shared" si="8"/>
        <v>873470.77070909739</v>
      </c>
      <c r="P193" s="171">
        <f t="shared" si="9"/>
        <v>7.0834497557936953E-3</v>
      </c>
      <c r="Q193" s="13">
        <f t="shared" si="10"/>
        <v>7.0834497557936953E-3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v>574.79999999999995</v>
      </c>
      <c r="D194" s="23"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2827206.6937523498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129259031.86752725</v>
      </c>
      <c r="O194" s="53">
        <f t="shared" si="8"/>
        <v>1425166.0583605766</v>
      </c>
      <c r="P194" s="171">
        <f t="shared" si="9"/>
        <v>1.1148579833203959E-2</v>
      </c>
      <c r="Q194" s="13">
        <f t="shared" si="10"/>
        <v>1.1148579833203959E-2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v>657.3</v>
      </c>
      <c r="D195" s="23"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2858409.1551103732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131303686.29481696</v>
      </c>
      <c r="O195" s="53">
        <f t="shared" ref="O195:O206" si="18">N195-B195</f>
        <v>-3295343.6618497223</v>
      </c>
      <c r="P195" s="171">
        <f t="shared" ref="P195:P206" si="19">O195/B195</f>
        <v>-2.448267021620169E-2</v>
      </c>
      <c r="Q195" s="13">
        <f t="shared" si="10"/>
        <v>2.448267021620169E-2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v>573</v>
      </c>
      <c r="D196" s="23"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2889611.6164683965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124298772.14367996</v>
      </c>
      <c r="O196" s="53">
        <f t="shared" si="18"/>
        <v>-375150.12298670411</v>
      </c>
      <c r="P196" s="171">
        <f t="shared" si="19"/>
        <v>-3.0090504587181486E-3</v>
      </c>
      <c r="Q196" s="13">
        <f t="shared" ref="Q196:Q206" si="21">ABS(P196)</f>
        <v>3.0090504587181486E-3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v>370.1</v>
      </c>
      <c r="D197" s="23"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2920814.0778264198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124393134.50082317</v>
      </c>
      <c r="O197" s="53">
        <f t="shared" si="18"/>
        <v>-450680.06584350765</v>
      </c>
      <c r="P197" s="171">
        <f t="shared" si="19"/>
        <v>-3.6099511009641907E-3</v>
      </c>
      <c r="Q197" s="13">
        <f t="shared" si="21"/>
        <v>3.6099511009641907E-3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v>365.3</v>
      </c>
      <c r="D198" s="23"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2952016.5391844432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119686732.88472262</v>
      </c>
      <c r="O198" s="53">
        <f t="shared" si="18"/>
        <v>1652009.4713892937</v>
      </c>
      <c r="P198" s="171">
        <f t="shared" si="19"/>
        <v>1.3995961727332525E-2</v>
      </c>
      <c r="Q198" s="13">
        <f t="shared" si="21"/>
        <v>1.3995961727332525E-2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v>103.8</v>
      </c>
      <c r="D199" s="23"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2983219.0005424665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123012404.49589892</v>
      </c>
      <c r="O199" s="53">
        <f t="shared" si="18"/>
        <v>-872203.53743441403</v>
      </c>
      <c r="P199" s="171">
        <f t="shared" si="19"/>
        <v>-7.040451201167237E-3</v>
      </c>
      <c r="Q199" s="13">
        <f t="shared" si="21"/>
        <v>7.040451201167237E-3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v>42.1</v>
      </c>
      <c r="D200" s="23">
        <v>61.2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3014421.4619004899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129029667.27223361</v>
      </c>
      <c r="O200" s="53">
        <f t="shared" si="18"/>
        <v>-1827158.9410997331</v>
      </c>
      <c r="P200" s="171">
        <f t="shared" si="19"/>
        <v>-1.3963038795706014E-2</v>
      </c>
      <c r="Q200" s="13">
        <f t="shared" si="21"/>
        <v>1.3963038795706014E-2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v>0</v>
      </c>
      <c r="D201" s="23">
        <v>116.4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3045623.9232585132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140828727.67246106</v>
      </c>
      <c r="O201" s="53">
        <f t="shared" si="18"/>
        <v>-4409334.9108722806</v>
      </c>
      <c r="P201" s="171">
        <f t="shared" si="19"/>
        <v>-3.0359361949918146E-2</v>
      </c>
      <c r="Q201" s="13">
        <f t="shared" si="21"/>
        <v>3.0359361949918146E-2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v>19.399999999999999</v>
      </c>
      <c r="D202" s="23">
        <v>58.1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3076826.3846165366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130543639.16240814</v>
      </c>
      <c r="O202" s="53">
        <f t="shared" si="18"/>
        <v>-5785177.9609251916</v>
      </c>
      <c r="P202" s="171">
        <f t="shared" si="19"/>
        <v>-4.2435473900514248E-2</v>
      </c>
      <c r="Q202" s="13">
        <f t="shared" si="21"/>
        <v>4.2435473900514248E-2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v>125.4</v>
      </c>
      <c r="D203" s="23"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3108028.8459745599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115181804.33833902</v>
      </c>
      <c r="O203" s="53">
        <f t="shared" si="18"/>
        <v>-3307830.9649943113</v>
      </c>
      <c r="P203" s="171">
        <f t="shared" si="19"/>
        <v>-2.7916627108575936E-2</v>
      </c>
      <c r="Q203" s="13">
        <f t="shared" si="21"/>
        <v>2.7916627108575936E-2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v>279.2</v>
      </c>
      <c r="D204" s="23"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3139231.3073325832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121667275.9697549</v>
      </c>
      <c r="O204" s="53">
        <f t="shared" si="18"/>
        <v>1236367.9364215732</v>
      </c>
      <c r="P204" s="171">
        <f t="shared" si="19"/>
        <v>1.0266201231990764E-2</v>
      </c>
      <c r="Q204" s="13">
        <f t="shared" si="21"/>
        <v>1.0266201231990764E-2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v>483.6</v>
      </c>
      <c r="D205" s="23"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3170433.7686906066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125257125.04153003</v>
      </c>
      <c r="O205" s="53">
        <f t="shared" si="18"/>
        <v>1079107.9181966931</v>
      </c>
      <c r="P205" s="171">
        <f t="shared" si="19"/>
        <v>8.6900076454347434E-3</v>
      </c>
      <c r="Q205" s="13">
        <f t="shared" si="21"/>
        <v>8.6900076454347434E-3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v>565.5</v>
      </c>
      <c r="D206" s="23"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3201636.2300486299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126318144.94155149</v>
      </c>
      <c r="O206" s="53">
        <f t="shared" si="18"/>
        <v>1285173.2682181597</v>
      </c>
      <c r="P206" s="171">
        <f t="shared" si="19"/>
        <v>1.0278674904855178E-2</v>
      </c>
      <c r="Q206" s="13">
        <f t="shared" si="21"/>
        <v>1.0278674904855178E-2</v>
      </c>
    </row>
    <row r="207" spans="1:18" x14ac:dyDescent="0.2">
      <c r="A207" s="54">
        <f>EOMONTH(A206,1)</f>
        <v>41305</v>
      </c>
      <c r="C207" s="334">
        <f t="shared" ref="C207:D218" si="23">(C3+C15+C27+C39+C51+C63+C75+C87+C99+C111+C123+C135+C147+C159+C171+C183+C195)/17</f>
        <v>746.91764705882338</v>
      </c>
      <c r="D207" s="334">
        <f t="shared" si="23"/>
        <v>0</v>
      </c>
      <c r="E207" s="10">
        <v>31</v>
      </c>
      <c r="F207" s="16">
        <v>0</v>
      </c>
      <c r="G207" s="16">
        <v>352</v>
      </c>
      <c r="H207" s="16">
        <v>693.3</v>
      </c>
      <c r="I207" s="16">
        <f>'CDM Activity'!F100</f>
        <v>3174072.3208114323</v>
      </c>
      <c r="J207" s="16">
        <v>48.197326203208497</v>
      </c>
      <c r="K207" s="162">
        <v>144.35917379447397</v>
      </c>
      <c r="L207"/>
      <c r="M207" s="10"/>
      <c r="N207" s="10">
        <f t="shared" si="20"/>
        <v>135476135.26022354</v>
      </c>
      <c r="O207"/>
      <c r="P207"/>
      <c r="Q207" s="5">
        <f>AVERAGE(Q3:Q206)</f>
        <v>2.2900993973613351E-2</v>
      </c>
      <c r="R207" s="172" t="s">
        <v>160</v>
      </c>
    </row>
    <row r="208" spans="1:18" x14ac:dyDescent="0.2">
      <c r="A208" s="54">
        <f t="shared" si="17"/>
        <v>41333</v>
      </c>
      <c r="C208" s="334">
        <f t="shared" si="23"/>
        <v>649.60588235294108</v>
      </c>
      <c r="D208" s="334">
        <f t="shared" si="23"/>
        <v>0</v>
      </c>
      <c r="E208" s="10">
        <v>28</v>
      </c>
      <c r="F208" s="16">
        <v>0</v>
      </c>
      <c r="G208" s="16">
        <v>304</v>
      </c>
      <c r="H208" s="16">
        <v>693.5</v>
      </c>
      <c r="I208" s="16">
        <f>'CDM Activity'!F101</f>
        <v>3146508.4115742347</v>
      </c>
      <c r="J208" s="16">
        <v>48.211229946524</v>
      </c>
      <c r="K208" s="162">
        <v>144.58577586600015</v>
      </c>
      <c r="L208"/>
      <c r="M208" s="10"/>
      <c r="N208" s="10">
        <f t="shared" si="20"/>
        <v>123884970.52478372</v>
      </c>
      <c r="O208"/>
      <c r="P208"/>
    </row>
    <row r="209" spans="1:16" x14ac:dyDescent="0.2">
      <c r="A209" s="54">
        <f t="shared" si="17"/>
        <v>41364</v>
      </c>
      <c r="C209" s="334">
        <f t="shared" si="23"/>
        <v>572.55294117647043</v>
      </c>
      <c r="D209" s="334">
        <f t="shared" si="23"/>
        <v>0</v>
      </c>
      <c r="E209" s="10">
        <v>31</v>
      </c>
      <c r="F209" s="16">
        <v>1</v>
      </c>
      <c r="G209" s="16">
        <v>320</v>
      </c>
      <c r="H209" s="16">
        <v>694.8</v>
      </c>
      <c r="I209" s="16">
        <f>'CDM Activity'!F102</f>
        <v>3118944.5023370371</v>
      </c>
      <c r="J209" s="16">
        <v>48.301604278074798</v>
      </c>
      <c r="K209" s="162">
        <v>144.81273363711554</v>
      </c>
      <c r="L209"/>
      <c r="M209" s="10"/>
      <c r="N209" s="10">
        <f t="shared" si="20"/>
        <v>127497544.03785904</v>
      </c>
      <c r="O209"/>
      <c r="P209"/>
    </row>
    <row r="210" spans="1:16" x14ac:dyDescent="0.2">
      <c r="A210" s="54">
        <f t="shared" si="17"/>
        <v>41394</v>
      </c>
      <c r="C210" s="334">
        <f t="shared" si="23"/>
        <v>346.36470588235295</v>
      </c>
      <c r="D210" s="334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v>696.9</v>
      </c>
      <c r="I210" s="16">
        <f>'CDM Activity'!F103</f>
        <v>3091380.5930998395</v>
      </c>
      <c r="J210" s="16">
        <v>48.447593582887599</v>
      </c>
      <c r="K210" s="162">
        <v>145.04004766616546</v>
      </c>
      <c r="L210"/>
      <c r="M210" s="10"/>
      <c r="N210" s="10">
        <f t="shared" si="20"/>
        <v>124965031.43588951</v>
      </c>
      <c r="O210"/>
      <c r="P210"/>
    </row>
    <row r="211" spans="1:16" x14ac:dyDescent="0.2">
      <c r="A211" s="54">
        <f t="shared" si="17"/>
        <v>41425</v>
      </c>
      <c r="C211" s="334">
        <f t="shared" si="23"/>
        <v>182.57647058823531</v>
      </c>
      <c r="D211" s="334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v>701.7</v>
      </c>
      <c r="I211" s="16">
        <f>'CDM Activity'!F104</f>
        <v>3063816.6838626419</v>
      </c>
      <c r="J211" s="16">
        <v>48.7812834224599</v>
      </c>
      <c r="K211" s="162">
        <v>145.2677185123716</v>
      </c>
      <c r="L211"/>
      <c r="M211" s="10"/>
      <c r="N211" s="10">
        <f t="shared" si="20"/>
        <v>125727671.38471967</v>
      </c>
      <c r="O211"/>
      <c r="P211"/>
    </row>
    <row r="212" spans="1:16" x14ac:dyDescent="0.2">
      <c r="A212" s="54">
        <f t="shared" si="17"/>
        <v>41455</v>
      </c>
      <c r="C212" s="334">
        <f t="shared" si="23"/>
        <v>48.317647058823539</v>
      </c>
      <c r="D212" s="334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v>707.5</v>
      </c>
      <c r="I212" s="16">
        <f>'CDM Activity'!F105</f>
        <v>3036252.7746254443</v>
      </c>
      <c r="J212" s="16">
        <v>49.1844919786096</v>
      </c>
      <c r="K212" s="162">
        <v>145.49574673583354</v>
      </c>
      <c r="L212"/>
      <c r="M212" s="10"/>
      <c r="N212" s="10">
        <f t="shared" si="20"/>
        <v>127940359.60759453</v>
      </c>
      <c r="O212"/>
      <c r="P212"/>
    </row>
    <row r="213" spans="1:16" x14ac:dyDescent="0.2">
      <c r="A213" s="54">
        <f t="shared" si="17"/>
        <v>41486</v>
      </c>
      <c r="C213" s="334">
        <f t="shared" si="23"/>
        <v>13.205882352941176</v>
      </c>
      <c r="D213" s="334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v>714.6</v>
      </c>
      <c r="I213" s="16">
        <f>'CDM Activity'!F106</f>
        <v>3008688.8653882467</v>
      </c>
      <c r="J213" s="16">
        <v>49.678074866310098</v>
      </c>
      <c r="K213" s="162">
        <v>145.72413289752996</v>
      </c>
      <c r="L213"/>
      <c r="M213" s="10"/>
      <c r="N213" s="10">
        <f t="shared" si="20"/>
        <v>139851532.15528405</v>
      </c>
    </row>
    <row r="214" spans="1:16" x14ac:dyDescent="0.2">
      <c r="A214" s="54">
        <f t="shared" si="17"/>
        <v>41517</v>
      </c>
      <c r="C214" s="334">
        <f t="shared" si="23"/>
        <v>22.299999999999994</v>
      </c>
      <c r="D214" s="334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v>713.3</v>
      </c>
      <c r="I214" s="16">
        <f>'CDM Activity'!F107</f>
        <v>2981124.9561510491</v>
      </c>
      <c r="J214" s="16">
        <v>49.5877005347593</v>
      </c>
      <c r="K214" s="162">
        <v>145.9528775593202</v>
      </c>
      <c r="L214"/>
      <c r="M214" s="10"/>
      <c r="N214" s="10">
        <f t="shared" si="20"/>
        <v>133791773.20004374</v>
      </c>
    </row>
    <row r="215" spans="1:16" x14ac:dyDescent="0.2">
      <c r="A215" s="54">
        <f t="shared" si="17"/>
        <v>41547</v>
      </c>
      <c r="C215" s="334">
        <f t="shared" si="23"/>
        <v>96.182352941176475</v>
      </c>
      <c r="D215" s="334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v>710.4</v>
      </c>
      <c r="I215" s="16">
        <f>'CDM Activity'!F108</f>
        <v>2953561.0469138515</v>
      </c>
      <c r="J215" s="16">
        <v>49.386096256684503</v>
      </c>
      <c r="K215" s="162">
        <v>146.18198128394553</v>
      </c>
      <c r="L215"/>
      <c r="M215" s="10"/>
      <c r="N215" s="10">
        <f t="shared" si="20"/>
        <v>122636444.70111181</v>
      </c>
    </row>
    <row r="216" spans="1:16" x14ac:dyDescent="0.2">
      <c r="A216" s="54">
        <f t="shared" si="17"/>
        <v>41578</v>
      </c>
      <c r="C216" s="334">
        <f t="shared" si="23"/>
        <v>290.2</v>
      </c>
      <c r="D216" s="334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v>708.7</v>
      </c>
      <c r="I216" s="16">
        <f>'CDM Activity'!F109</f>
        <v>2925997.1376766539</v>
      </c>
      <c r="J216" s="16">
        <v>49.2679144385027</v>
      </c>
      <c r="K216" s="162">
        <v>146.41144463503053</v>
      </c>
      <c r="L216"/>
      <c r="M216" s="10"/>
      <c r="N216" s="10">
        <f t="shared" si="20"/>
        <v>128380853.12185498</v>
      </c>
    </row>
    <row r="217" spans="1:16" x14ac:dyDescent="0.2">
      <c r="A217" s="54">
        <f t="shared" si="17"/>
        <v>41608</v>
      </c>
      <c r="C217" s="334">
        <f t="shared" si="23"/>
        <v>442.41176470588238</v>
      </c>
      <c r="D217" s="334">
        <f t="shared" si="23"/>
        <v>0</v>
      </c>
      <c r="E217" s="10">
        <v>30</v>
      </c>
      <c r="F217" s="16">
        <v>1</v>
      </c>
      <c r="G217" s="16">
        <v>336</v>
      </c>
      <c r="H217" s="16">
        <v>710.9</v>
      </c>
      <c r="I217" s="16">
        <f>'CDM Activity'!F110</f>
        <v>2898433.2284394563</v>
      </c>
      <c r="J217" s="16">
        <v>49.420855614973199</v>
      </c>
      <c r="K217" s="162">
        <v>146.64126817708456</v>
      </c>
      <c r="L217"/>
      <c r="M217" s="10"/>
      <c r="N217" s="10">
        <f t="shared" si="20"/>
        <v>128741579.68687309</v>
      </c>
    </row>
    <row r="218" spans="1:16" x14ac:dyDescent="0.2">
      <c r="A218" s="54">
        <f t="shared" si="17"/>
        <v>41639</v>
      </c>
      <c r="C218" s="334">
        <f t="shared" si="23"/>
        <v>645.59411764705885</v>
      </c>
      <c r="D218" s="334">
        <f t="shared" si="23"/>
        <v>0</v>
      </c>
      <c r="E218" s="10">
        <v>31</v>
      </c>
      <c r="F218" s="16">
        <v>0</v>
      </c>
      <c r="G218" s="16">
        <v>320</v>
      </c>
      <c r="H218" s="16">
        <v>704.7</v>
      </c>
      <c r="I218" s="16">
        <f>'CDM Activity'!F111</f>
        <v>2870869.3192022587</v>
      </c>
      <c r="J218" s="16">
        <v>48.989839572192501</v>
      </c>
      <c r="K218" s="162">
        <v>146.87145247550308</v>
      </c>
      <c r="L218"/>
      <c r="M218" s="10"/>
      <c r="N218" s="10">
        <f t="shared" si="20"/>
        <v>133455403.33567588</v>
      </c>
    </row>
    <row r="219" spans="1:16" x14ac:dyDescent="0.2">
      <c r="A219" s="54">
        <f t="shared" si="17"/>
        <v>41670</v>
      </c>
      <c r="C219" s="334">
        <f>C207</f>
        <v>746.91764705882338</v>
      </c>
      <c r="D219" s="334">
        <f>D207</f>
        <v>0</v>
      </c>
      <c r="E219" s="10">
        <v>31</v>
      </c>
      <c r="F219" s="16">
        <v>0</v>
      </c>
      <c r="G219" s="16">
        <v>352</v>
      </c>
      <c r="H219" s="16">
        <f t="shared" ref="H219:H230" si="24">H218</f>
        <v>704.7</v>
      </c>
      <c r="I219" s="16">
        <f>'CDM Activity'!F112</f>
        <v>2887596.9127637479</v>
      </c>
      <c r="J219" s="174">
        <f t="shared" ref="J219:J230" si="25">J218</f>
        <v>48.989839572192501</v>
      </c>
      <c r="K219" s="162">
        <v>147.1500314630903</v>
      </c>
      <c r="L219"/>
      <c r="M219" s="10"/>
      <c r="N219" s="10">
        <f t="shared" si="20"/>
        <v>138861490.88545799</v>
      </c>
    </row>
    <row r="220" spans="1:16" x14ac:dyDescent="0.2">
      <c r="A220" s="54">
        <f t="shared" si="17"/>
        <v>41698</v>
      </c>
      <c r="C220" s="334">
        <f t="shared" ref="C220:D230" si="26">C208</f>
        <v>649.60588235294108</v>
      </c>
      <c r="D220" s="334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704.7</v>
      </c>
      <c r="I220" s="16">
        <f>'CDM Activity'!F113</f>
        <v>2904324.506325237</v>
      </c>
      <c r="J220" s="174">
        <f t="shared" si="25"/>
        <v>48.989839572192501</v>
      </c>
      <c r="K220" s="162">
        <v>147.42913884643463</v>
      </c>
      <c r="L220"/>
      <c r="M220" s="10"/>
      <c r="N220" s="10">
        <f t="shared" si="20"/>
        <v>127040227.811794</v>
      </c>
    </row>
    <row r="221" spans="1:16" x14ac:dyDescent="0.2">
      <c r="A221" s="54">
        <f t="shared" si="17"/>
        <v>41729</v>
      </c>
      <c r="C221" s="334">
        <f t="shared" si="26"/>
        <v>572.55294117647043</v>
      </c>
      <c r="D221" s="334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704.7</v>
      </c>
      <c r="I221" s="16">
        <f>'CDM Activity'!F114</f>
        <v>2921052.0998867261</v>
      </c>
      <c r="J221" s="174">
        <f t="shared" si="25"/>
        <v>48.989839572192501</v>
      </c>
      <c r="K221" s="162">
        <v>147.7087756277727</v>
      </c>
      <c r="L221"/>
      <c r="M221" s="10"/>
      <c r="N221" s="10">
        <f t="shared" si="20"/>
        <v>131861223.20080183</v>
      </c>
    </row>
    <row r="222" spans="1:16" x14ac:dyDescent="0.2">
      <c r="A222" s="54">
        <f t="shared" si="17"/>
        <v>41759</v>
      </c>
      <c r="C222" s="334">
        <f t="shared" si="26"/>
        <v>346.36470588235295</v>
      </c>
      <c r="D222" s="334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704.7</v>
      </c>
      <c r="I222" s="16">
        <f>'CDM Activity'!F115</f>
        <v>2937779.6934482153</v>
      </c>
      <c r="J222" s="174">
        <f t="shared" si="25"/>
        <v>48.989839572192501</v>
      </c>
      <c r="K222" s="162">
        <v>147.9889428112422</v>
      </c>
      <c r="L222"/>
      <c r="M222" s="10"/>
      <c r="N222" s="10">
        <f t="shared" si="20"/>
        <v>123806951.35285439</v>
      </c>
    </row>
    <row r="223" spans="1:16" x14ac:dyDescent="0.2">
      <c r="A223" s="54">
        <f t="shared" ref="A223:A230" si="27">EOMONTH(A222,1)</f>
        <v>41790</v>
      </c>
      <c r="C223" s="334">
        <f t="shared" si="26"/>
        <v>182.57647058823531</v>
      </c>
      <c r="D223" s="334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704.7</v>
      </c>
      <c r="I223" s="16">
        <f>'CDM Activity'!F116</f>
        <v>2954507.2870097044</v>
      </c>
      <c r="J223" s="174">
        <f t="shared" si="25"/>
        <v>48.989839572192501</v>
      </c>
      <c r="K223" s="162">
        <v>148.26964140288536</v>
      </c>
      <c r="L223"/>
      <c r="M223" s="10"/>
      <c r="N223" s="10">
        <f t="shared" si="20"/>
        <v>125121022.61444502</v>
      </c>
    </row>
    <row r="224" spans="1:16" x14ac:dyDescent="0.2">
      <c r="A224" s="54">
        <f t="shared" si="27"/>
        <v>41820</v>
      </c>
      <c r="C224" s="334">
        <f t="shared" si="26"/>
        <v>48.317647058823539</v>
      </c>
      <c r="D224" s="334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704.7</v>
      </c>
      <c r="I224" s="16">
        <f>'CDM Activity'!F117</f>
        <v>2971234.8805711935</v>
      </c>
      <c r="J224" s="174">
        <f t="shared" si="25"/>
        <v>48.989839572192501</v>
      </c>
      <c r="K224" s="162">
        <v>148.55087241065269</v>
      </c>
      <c r="L224"/>
      <c r="M224" s="10"/>
      <c r="N224" s="10">
        <f t="shared" si="20"/>
        <v>129342433.5231847</v>
      </c>
    </row>
    <row r="225" spans="1:19" x14ac:dyDescent="0.2">
      <c r="A225" s="54">
        <f t="shared" si="27"/>
        <v>41851</v>
      </c>
      <c r="C225" s="334">
        <f t="shared" si="26"/>
        <v>13.205882352941176</v>
      </c>
      <c r="D225" s="334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704.7</v>
      </c>
      <c r="I225" s="16">
        <f>'CDM Activity'!F118</f>
        <v>2987962.4741326827</v>
      </c>
      <c r="J225" s="174">
        <f t="shared" si="25"/>
        <v>48.989839572192501</v>
      </c>
      <c r="K225" s="162">
        <v>148.83263684440649</v>
      </c>
      <c r="L225"/>
      <c r="M225" s="10"/>
      <c r="N225" s="10">
        <f t="shared" si="20"/>
        <v>138083294.80267185</v>
      </c>
    </row>
    <row r="226" spans="1:19" x14ac:dyDescent="0.2">
      <c r="A226" s="54">
        <f t="shared" si="27"/>
        <v>41882</v>
      </c>
      <c r="C226" s="334">
        <f t="shared" si="26"/>
        <v>22.299999999999994</v>
      </c>
      <c r="D226" s="334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704.7</v>
      </c>
      <c r="I226" s="16">
        <f>'CDM Activity'!F119</f>
        <v>3004690.0676941718</v>
      </c>
      <c r="J226" s="174">
        <f t="shared" si="25"/>
        <v>48.989839572192501</v>
      </c>
      <c r="K226" s="162">
        <v>149.11493571592456</v>
      </c>
      <c r="L226"/>
      <c r="M226" s="10"/>
      <c r="N226" s="10">
        <f t="shared" si="20"/>
        <v>130430001.93084197</v>
      </c>
    </row>
    <row r="227" spans="1:19" x14ac:dyDescent="0.2">
      <c r="A227" s="54">
        <f t="shared" si="27"/>
        <v>41912</v>
      </c>
      <c r="C227" s="334">
        <f t="shared" si="26"/>
        <v>96.182352941176475</v>
      </c>
      <c r="D227" s="334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704.7</v>
      </c>
      <c r="I227" s="16">
        <f>'CDM Activity'!F120</f>
        <v>3021417.6612556609</v>
      </c>
      <c r="J227" s="174">
        <f t="shared" si="25"/>
        <v>48.989839572192501</v>
      </c>
      <c r="K227" s="162">
        <v>149.39777003890373</v>
      </c>
      <c r="L227"/>
      <c r="M227" s="10"/>
      <c r="N227" s="10">
        <f t="shared" si="20"/>
        <v>122916486.94623096</v>
      </c>
    </row>
    <row r="228" spans="1:19" x14ac:dyDescent="0.2">
      <c r="A228" s="54">
        <f t="shared" si="27"/>
        <v>41943</v>
      </c>
      <c r="C228" s="334">
        <f t="shared" si="26"/>
        <v>290.2</v>
      </c>
      <c r="D228" s="334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704.7</v>
      </c>
      <c r="I228" s="16">
        <f>'CDM Activity'!F121</f>
        <v>3038145.2548171501</v>
      </c>
      <c r="J228" s="174">
        <f t="shared" si="25"/>
        <v>48.989839572192501</v>
      </c>
      <c r="K228" s="162">
        <v>149.68114082896363</v>
      </c>
      <c r="L228"/>
      <c r="M228" s="10"/>
      <c r="N228" s="10">
        <f t="shared" si="20"/>
        <v>127142446.08617555</v>
      </c>
    </row>
    <row r="229" spans="1:19" x14ac:dyDescent="0.2">
      <c r="A229" s="54">
        <f t="shared" si="27"/>
        <v>41973</v>
      </c>
      <c r="C229" s="334">
        <f t="shared" si="26"/>
        <v>442.41176470588238</v>
      </c>
      <c r="D229" s="334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704.7</v>
      </c>
      <c r="I229" s="16">
        <f>'CDM Activity'!F122</f>
        <v>3054872.8483786392</v>
      </c>
      <c r="J229" s="174">
        <f t="shared" si="25"/>
        <v>48.989839572192501</v>
      </c>
      <c r="K229" s="162">
        <v>149.96504910365024</v>
      </c>
      <c r="L229"/>
      <c r="M229" s="10"/>
      <c r="N229" s="10">
        <f t="shared" si="20"/>
        <v>123607645.20885007</v>
      </c>
    </row>
    <row r="230" spans="1:19" x14ac:dyDescent="0.2">
      <c r="A230" s="54">
        <f t="shared" si="27"/>
        <v>42004</v>
      </c>
      <c r="C230" s="334">
        <f t="shared" si="26"/>
        <v>645.59411764705885</v>
      </c>
      <c r="D230" s="334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704.7</v>
      </c>
      <c r="I230" s="16">
        <f>'CDM Activity'!F123</f>
        <v>3071600.4419401283</v>
      </c>
      <c r="J230" s="174">
        <f t="shared" si="25"/>
        <v>48.989839572192501</v>
      </c>
      <c r="K230" s="162">
        <v>150.24949588243965</v>
      </c>
      <c r="L230"/>
      <c r="M230" s="10"/>
      <c r="N230" s="10">
        <f t="shared" si="20"/>
        <v>134227733.57983226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176349652.4552336</v>
      </c>
      <c r="N232" s="53">
        <f>SUM(N3:N230)</f>
        <v>27900794116.295055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1160636229.055681</v>
      </c>
      <c r="O234" s="38">
        <f t="shared" ref="O234:O250" si="28">N234-B234</f>
        <v>33857636.05568099</v>
      </c>
      <c r="P234" s="5">
        <f t="shared" ref="P234:P250" si="29">O234/B234</f>
        <v>3.004817118999082E-2</v>
      </c>
      <c r="Q234" s="5">
        <f>ABS(P234)</f>
        <v>3.004817118999082E-2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1199638191.9534881</v>
      </c>
      <c r="O235" s="38">
        <f t="shared" si="28"/>
        <v>-3184052.0465118885</v>
      </c>
      <c r="P235" s="5">
        <f t="shared" si="29"/>
        <v>-2.6471509505205729E-3</v>
      </c>
      <c r="Q235" s="5">
        <f t="shared" ref="Q235:Q250" si="30">ABS(P235)</f>
        <v>2.6471509505205729E-3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1275643895.298501</v>
      </c>
      <c r="O236" s="38">
        <f t="shared" si="28"/>
        <v>3092738.2985010147</v>
      </c>
      <c r="P236" s="5">
        <f t="shared" si="29"/>
        <v>2.4303449660853316E-3</v>
      </c>
      <c r="Q236" s="5">
        <f t="shared" si="30"/>
        <v>2.4303449660853316E-3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1379213967.0884619</v>
      </c>
      <c r="O237" s="38">
        <f t="shared" si="28"/>
        <v>28398576.988461733</v>
      </c>
      <c r="P237" s="5">
        <f t="shared" si="29"/>
        <v>2.1023285044420022E-2</v>
      </c>
      <c r="Q237" s="5">
        <f t="shared" si="30"/>
        <v>2.1023285044420022E-2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1382039533.6418393</v>
      </c>
      <c r="O238" s="38">
        <f t="shared" si="28"/>
        <v>-10134058.158160686</v>
      </c>
      <c r="P238" s="5">
        <f t="shared" si="29"/>
        <v>-7.2793064154147149E-3</v>
      </c>
      <c r="Q238" s="5">
        <f t="shared" si="30"/>
        <v>7.2793064154147149E-3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1416590403.2563884</v>
      </c>
      <c r="O239" s="38">
        <f t="shared" si="28"/>
        <v>-4387326.7436115742</v>
      </c>
      <c r="P239" s="5">
        <f t="shared" si="29"/>
        <v>-3.087540818540185E-3</v>
      </c>
      <c r="Q239" s="5">
        <f t="shared" si="30"/>
        <v>3.087540818540185E-3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1470575513.6215622</v>
      </c>
      <c r="O240" s="38">
        <f t="shared" si="28"/>
        <v>-48569242.378437757</v>
      </c>
      <c r="P240" s="5">
        <f t="shared" si="29"/>
        <v>-3.1971437999314505E-2</v>
      </c>
      <c r="Q240" s="5">
        <f t="shared" si="30"/>
        <v>3.1971437999314505E-2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1500853265.2510455</v>
      </c>
      <c r="O241" s="38">
        <f t="shared" si="28"/>
        <v>-22864264.748954535</v>
      </c>
      <c r="P241" s="5">
        <f t="shared" si="29"/>
        <v>-1.5005579642412156E-2</v>
      </c>
      <c r="Q241" s="5">
        <f t="shared" si="30"/>
        <v>1.5005579642412156E-2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1539378098.2646749</v>
      </c>
      <c r="O242" s="38">
        <f t="shared" si="28"/>
        <v>-31027831.735325098</v>
      </c>
      <c r="P242" s="5">
        <f t="shared" si="29"/>
        <v>-1.9757841678122737E-2</v>
      </c>
      <c r="Q242" s="5">
        <f t="shared" si="30"/>
        <v>1.9757841678122737E-2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1627237981.0482955</v>
      </c>
      <c r="O243" s="38">
        <f t="shared" si="28"/>
        <v>-13750680.951704502</v>
      </c>
      <c r="P243" s="5">
        <f t="shared" si="29"/>
        <v>-8.3795100296095177E-3</v>
      </c>
      <c r="Q243" s="5">
        <f t="shared" si="30"/>
        <v>8.3795100296095177E-3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1634026222.3421593</v>
      </c>
      <c r="O244" s="38">
        <f t="shared" si="28"/>
        <v>34666178.342159271</v>
      </c>
      <c r="P244" s="5">
        <f t="shared" si="29"/>
        <v>2.1675030880138252E-2</v>
      </c>
      <c r="Q244" s="5">
        <f t="shared" si="30"/>
        <v>2.1675030880138252E-2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1622797318.6380689</v>
      </c>
      <c r="O245" s="38">
        <f t="shared" si="28"/>
        <v>13603395.638068914</v>
      </c>
      <c r="P245" s="5">
        <f t="shared" si="29"/>
        <v>8.453546489106966E-3</v>
      </c>
      <c r="Q245" s="5">
        <f t="shared" si="30"/>
        <v>8.453546489106966E-3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1601223664.943572</v>
      </c>
      <c r="O246" s="38">
        <f t="shared" si="28"/>
        <v>43700435.943572044</v>
      </c>
      <c r="P246" s="5">
        <f t="shared" si="29"/>
        <v>2.8057646351528055E-2</v>
      </c>
      <c r="Q246" s="5">
        <f t="shared" si="30"/>
        <v>2.8057646351528055E-2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1444459368.9156191</v>
      </c>
      <c r="O247" s="38">
        <f t="shared" si="28"/>
        <v>-5895477.0843808651</v>
      </c>
      <c r="P247" s="5">
        <f t="shared" si="29"/>
        <v>-4.0648515090222718E-3</v>
      </c>
      <c r="Q247" s="5">
        <f t="shared" si="30"/>
        <v>4.0648515090222718E-3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1492411339.98773</v>
      </c>
      <c r="O248" s="38">
        <f t="shared" si="28"/>
        <v>-20754290.012269974</v>
      </c>
      <c r="P248" s="5">
        <f t="shared" si="29"/>
        <v>-1.3715808501591445E-2</v>
      </c>
      <c r="Q248" s="5">
        <f t="shared" si="30"/>
        <v>1.3715808501591445E-2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1537757751.8746831</v>
      </c>
      <c r="O249" s="38">
        <f t="shared" si="28"/>
        <v>18318484.164683104</v>
      </c>
      <c r="P249" s="5">
        <f t="shared" si="29"/>
        <v>1.2056081841488491E-2</v>
      </c>
      <c r="Q249" s="5">
        <f t="shared" si="30"/>
        <v>1.2056081841488491E-2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1511521114.71822</v>
      </c>
      <c r="O250" s="38">
        <f t="shared" si="28"/>
        <v>-15070221.571780205</v>
      </c>
      <c r="P250" s="5">
        <f t="shared" si="29"/>
        <v>-9.8718112788486155E-3</v>
      </c>
      <c r="Q250" s="5">
        <f t="shared" si="30"/>
        <v>9.8718112788486155E-3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1552349298.4519138</v>
      </c>
      <c r="O251" s="38"/>
      <c r="P251" s="5"/>
      <c r="Q251" s="5">
        <f>AVERAGE(Q234:Q250)</f>
        <v>1.4089702681538507E-2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1552440957.9431405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164</v>
      </c>
      <c r="B254" s="6">
        <f>SUM(B234:B252)</f>
        <v>24796003859.900002</v>
      </c>
      <c r="N254" s="6">
        <f>SUM(N234:N250)</f>
        <v>24796003859.899994</v>
      </c>
      <c r="O254" s="53">
        <f>N254-B254</f>
        <v>0</v>
      </c>
    </row>
    <row r="256" spans="1:21" x14ac:dyDescent="0.2">
      <c r="N256" s="6">
        <f>SUM(N234:N252)</f>
        <v>27900794116.295048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48" t="s">
        <v>256</v>
      </c>
      <c r="C260" s="449"/>
      <c r="D260" s="449"/>
    </row>
    <row r="261" spans="2:19" x14ac:dyDescent="0.2">
      <c r="C261" s="173">
        <f>'Weather Analysis '!V8</f>
        <v>757.42000000000007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704.7</v>
      </c>
      <c r="I261" s="16">
        <f>I219</f>
        <v>2887596.9127637479</v>
      </c>
      <c r="J261" s="174">
        <f>J219</f>
        <v>48.989839572192501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139088364.10975695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704.7</v>
      </c>
      <c r="I262" s="16">
        <f t="shared" ref="I262:I272" si="33">I220</f>
        <v>2904324.506325237</v>
      </c>
      <c r="J262" s="174">
        <f t="shared" ref="J262:J272" si="34">J261</f>
        <v>48.989839572192501</v>
      </c>
      <c r="K262" s="162">
        <v>147.42913884643463</v>
      </c>
      <c r="L262"/>
      <c r="M262" s="10"/>
      <c r="N262" s="10">
        <f t="shared" si="31"/>
        <v>127554663.54678439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704.7</v>
      </c>
      <c r="I263" s="16">
        <f t="shared" si="33"/>
        <v>2921052.0998867261</v>
      </c>
      <c r="J263" s="174">
        <f t="shared" si="34"/>
        <v>48.989839572192501</v>
      </c>
      <c r="K263" s="162">
        <v>147.7087756277727</v>
      </c>
      <c r="L263"/>
      <c r="M263" s="10"/>
      <c r="N263" s="10">
        <f t="shared" si="31"/>
        <v>131804994.11950226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704.7</v>
      </c>
      <c r="I264" s="16">
        <f t="shared" si="33"/>
        <v>2937779.6934482153</v>
      </c>
      <c r="J264" s="174">
        <f t="shared" si="34"/>
        <v>48.989839572192501</v>
      </c>
      <c r="K264" s="162">
        <v>147.9889428112422</v>
      </c>
      <c r="L264"/>
      <c r="M264" s="10"/>
      <c r="N264" s="10">
        <f t="shared" si="31"/>
        <v>123605117.46046714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704.7</v>
      </c>
      <c r="I265" s="16">
        <f t="shared" si="33"/>
        <v>2954507.2870097044</v>
      </c>
      <c r="J265" s="174">
        <f t="shared" si="34"/>
        <v>48.989839572192501</v>
      </c>
      <c r="K265" s="162">
        <v>148.26964140288536</v>
      </c>
      <c r="L265"/>
      <c r="M265" s="10"/>
      <c r="N265" s="10">
        <f t="shared" si="31"/>
        <v>125081232.45085321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704.7</v>
      </c>
      <c r="I266" s="16">
        <f t="shared" si="33"/>
        <v>2971234.8805711935</v>
      </c>
      <c r="J266" s="174">
        <f t="shared" si="34"/>
        <v>48.989839572192501</v>
      </c>
      <c r="K266" s="162">
        <v>148.55087241065269</v>
      </c>
      <c r="L266"/>
      <c r="M266" s="10"/>
      <c r="N266" s="10">
        <f t="shared" si="31"/>
        <v>128388715.45290183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704.7</v>
      </c>
      <c r="I267" s="16">
        <f t="shared" si="33"/>
        <v>2987962.4741326827</v>
      </c>
      <c r="J267" s="174">
        <f t="shared" si="34"/>
        <v>48.989839572192501</v>
      </c>
      <c r="K267" s="162">
        <v>148.83263684440649</v>
      </c>
      <c r="L267"/>
      <c r="M267" s="10"/>
      <c r="N267" s="10">
        <f t="shared" si="31"/>
        <v>138337209.64436316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704.7</v>
      </c>
      <c r="I268" s="16">
        <f t="shared" si="33"/>
        <v>3004690.0676941718</v>
      </c>
      <c r="J268" s="174">
        <f t="shared" si="34"/>
        <v>48.989839572192501</v>
      </c>
      <c r="K268" s="162">
        <v>149.11493571592456</v>
      </c>
      <c r="L268"/>
      <c r="M268" s="10"/>
      <c r="N268" s="10">
        <f t="shared" si="31"/>
        <v>130328986.88382725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704.7</v>
      </c>
      <c r="I269" s="16">
        <f t="shared" si="33"/>
        <v>3021417.6612556609</v>
      </c>
      <c r="J269" s="174">
        <f t="shared" si="34"/>
        <v>48.989839572192501</v>
      </c>
      <c r="K269" s="162">
        <v>149.39777003890373</v>
      </c>
      <c r="L269"/>
      <c r="M269" s="10"/>
      <c r="N269" s="10">
        <f t="shared" si="31"/>
        <v>122122162.32666047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704.7</v>
      </c>
      <c r="I270" s="16">
        <f t="shared" si="33"/>
        <v>3038145.2548171501</v>
      </c>
      <c r="J270" s="174">
        <f t="shared" si="34"/>
        <v>48.989839572192501</v>
      </c>
      <c r="K270" s="162">
        <v>149.68114082896363</v>
      </c>
      <c r="L270"/>
      <c r="M270" s="10"/>
      <c r="N270" s="10">
        <f t="shared" si="31"/>
        <v>127139864.02532439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704.7</v>
      </c>
      <c r="I271" s="16">
        <f t="shared" si="33"/>
        <v>3054872.8483786392</v>
      </c>
      <c r="J271" s="174">
        <f t="shared" si="34"/>
        <v>48.989839572192501</v>
      </c>
      <c r="K271" s="162">
        <v>149.96504910365024</v>
      </c>
      <c r="L271"/>
      <c r="M271" s="10"/>
      <c r="N271" s="10">
        <f t="shared" si="31"/>
        <v>123400442.63265322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704.7</v>
      </c>
      <c r="I272" s="16">
        <f t="shared" si="33"/>
        <v>3071600.4419401283</v>
      </c>
      <c r="J272" s="174">
        <f t="shared" si="34"/>
        <v>48.989839572192501</v>
      </c>
      <c r="K272" s="162">
        <v>150.24949588243965</v>
      </c>
      <c r="L272"/>
      <c r="M272" s="10"/>
      <c r="N272" s="10">
        <f t="shared" si="31"/>
        <v>134294179.19929338</v>
      </c>
      <c r="O272" s="53">
        <f>SUM(N261:N272)</f>
        <v>1551145931.8523877</v>
      </c>
      <c r="P272" s="53"/>
    </row>
    <row r="274" spans="2:15" x14ac:dyDescent="0.2">
      <c r="B274" s="448" t="s">
        <v>243</v>
      </c>
      <c r="C274" s="449"/>
      <c r="D274" s="449"/>
      <c r="E274" s="295"/>
      <c r="F274" s="295"/>
      <c r="L274" s="295"/>
      <c r="M274" s="295"/>
      <c r="N274" s="295"/>
      <c r="O274" s="295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704.7</v>
      </c>
      <c r="I275" s="16">
        <f>I261</f>
        <v>2887596.9127637479</v>
      </c>
      <c r="J275" s="174">
        <f>J261</f>
        <v>48.989839572192501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138414408.42257279</v>
      </c>
      <c r="O275" s="295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704.7</v>
      </c>
      <c r="I276" s="16">
        <f t="shared" ref="I276:I286" si="37">I262</f>
        <v>2904324.506325237</v>
      </c>
      <c r="J276" s="174">
        <f t="shared" ref="J276:J286" si="38">J275</f>
        <v>48.989839572192501</v>
      </c>
      <c r="K276" s="162">
        <v>147.42913884643463</v>
      </c>
      <c r="L276"/>
      <c r="M276" s="10"/>
      <c r="N276" s="10">
        <f t="shared" si="35"/>
        <v>126628224.40383883</v>
      </c>
      <c r="O276" s="295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704.7</v>
      </c>
      <c r="I277" s="16">
        <f t="shared" si="37"/>
        <v>2921052.0998867261</v>
      </c>
      <c r="J277" s="174">
        <f t="shared" si="38"/>
        <v>48.989839572192501</v>
      </c>
      <c r="K277" s="162">
        <v>147.7087756277727</v>
      </c>
      <c r="L277"/>
      <c r="M277" s="10"/>
      <c r="N277" s="10">
        <f t="shared" si="35"/>
        <v>130951177.1244895</v>
      </c>
      <c r="O277" s="295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704.7</v>
      </c>
      <c r="I278" s="16">
        <f t="shared" si="37"/>
        <v>2937779.6934482153</v>
      </c>
      <c r="J278" s="174">
        <f t="shared" si="38"/>
        <v>48.989839572192501</v>
      </c>
      <c r="K278" s="162">
        <v>147.9889428112422</v>
      </c>
      <c r="L278"/>
      <c r="M278" s="10"/>
      <c r="N278" s="10">
        <f t="shared" si="35"/>
        <v>123144075.11414845</v>
      </c>
      <c r="O278" s="295"/>
    </row>
    <row r="279" spans="2:15" x14ac:dyDescent="0.2">
      <c r="C279" s="173">
        <f>'Weather Analysis '!W12</f>
        <v>165.07270676691724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704.7</v>
      </c>
      <c r="I279" s="16">
        <f t="shared" si="37"/>
        <v>2954507.2870097044</v>
      </c>
      <c r="J279" s="174">
        <f t="shared" si="38"/>
        <v>48.989839572192501</v>
      </c>
      <c r="K279" s="162">
        <v>148.26964140288536</v>
      </c>
      <c r="L279"/>
      <c r="M279" s="10"/>
      <c r="N279" s="10">
        <f t="shared" si="35"/>
        <v>125440163.85661303</v>
      </c>
      <c r="O279" s="295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704.7</v>
      </c>
      <c r="I280" s="16">
        <f t="shared" si="37"/>
        <v>2971234.8805711935</v>
      </c>
      <c r="J280" s="174">
        <f t="shared" si="38"/>
        <v>48.989839572192501</v>
      </c>
      <c r="K280" s="162">
        <v>148.55087241065269</v>
      </c>
      <c r="L280"/>
      <c r="M280" s="10"/>
      <c r="N280" s="10">
        <f t="shared" si="35"/>
        <v>127851638.02392747</v>
      </c>
      <c r="O280" s="295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704.7</v>
      </c>
      <c r="I281" s="16">
        <f t="shared" si="37"/>
        <v>2987962.4741326827</v>
      </c>
      <c r="J281" s="174">
        <f t="shared" si="38"/>
        <v>48.989839572192501</v>
      </c>
      <c r="K281" s="162">
        <v>148.83263684440649</v>
      </c>
      <c r="L281"/>
      <c r="M281" s="10"/>
      <c r="N281" s="10">
        <f t="shared" si="35"/>
        <v>139954151.07109502</v>
      </c>
      <c r="O281" s="295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704.7</v>
      </c>
      <c r="I282" s="16">
        <f t="shared" si="37"/>
        <v>3004690.0676941718</v>
      </c>
      <c r="J282" s="174">
        <f t="shared" si="38"/>
        <v>48.989839572192501</v>
      </c>
      <c r="K282" s="162">
        <v>149.11493571592456</v>
      </c>
      <c r="L282"/>
      <c r="M282" s="10"/>
      <c r="N282" s="10">
        <f t="shared" si="35"/>
        <v>129954733.85461991</v>
      </c>
      <c r="O282" s="295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704.7</v>
      </c>
      <c r="I283" s="16">
        <f t="shared" si="37"/>
        <v>3021417.6612556609</v>
      </c>
      <c r="J283" s="174">
        <f t="shared" si="38"/>
        <v>48.989839572192501</v>
      </c>
      <c r="K283" s="162">
        <v>149.39777003890373</v>
      </c>
      <c r="L283"/>
      <c r="M283" s="10"/>
      <c r="N283" s="10">
        <f t="shared" si="35"/>
        <v>122787839.22925316</v>
      </c>
      <c r="O283" s="295"/>
    </row>
    <row r="284" spans="2:15" x14ac:dyDescent="0.2">
      <c r="C284" s="173">
        <f>'Weather Analysis '!W17</f>
        <v>288.84977443609029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704.7</v>
      </c>
      <c r="I284" s="16">
        <f t="shared" si="37"/>
        <v>3038145.2548171501</v>
      </c>
      <c r="J284" s="174">
        <f t="shared" si="38"/>
        <v>48.989839572192501</v>
      </c>
      <c r="K284" s="162">
        <v>149.68114082896363</v>
      </c>
      <c r="L284"/>
      <c r="M284" s="10"/>
      <c r="N284" s="10">
        <f t="shared" si="35"/>
        <v>127200924.80670486</v>
      </c>
      <c r="O284" s="295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704.7</v>
      </c>
      <c r="I285" s="16">
        <f t="shared" si="37"/>
        <v>3054872.8483786392</v>
      </c>
      <c r="J285" s="174">
        <f t="shared" si="38"/>
        <v>48.989839572192501</v>
      </c>
      <c r="K285" s="162">
        <v>149.96504910365024</v>
      </c>
      <c r="L285"/>
      <c r="M285" s="10"/>
      <c r="N285" s="10">
        <f t="shared" si="35"/>
        <v>122943965.20056291</v>
      </c>
      <c r="O285" s="295"/>
    </row>
    <row r="286" spans="2:15" x14ac:dyDescent="0.2">
      <c r="C286" s="173">
        <f>'Weather Analysis '!W19</f>
        <v>645.63368421052621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704.7</v>
      </c>
      <c r="I286" s="16">
        <f t="shared" si="37"/>
        <v>3071600.4419401283</v>
      </c>
      <c r="J286" s="174">
        <f t="shared" si="38"/>
        <v>48.989839572192501</v>
      </c>
      <c r="K286" s="162">
        <v>150.24949588243965</v>
      </c>
      <c r="L286"/>
      <c r="M286" s="10"/>
      <c r="N286" s="10">
        <f t="shared" si="35"/>
        <v>134228588.30199578</v>
      </c>
      <c r="O286" s="53">
        <f>SUM(N275:N286)</f>
        <v>1549499889.4098215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97" max="12" man="1"/>
  </rowBreaks>
  <ignoredErrors>
    <ignoredError sqref="I207:I23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F27" sqref="F27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163</v>
      </c>
      <c r="M2" s="184" t="s">
        <v>162</v>
      </c>
      <c r="N2" s="52" t="s">
        <v>83</v>
      </c>
      <c r="O2" s="52" t="s">
        <v>2</v>
      </c>
      <c r="P2" s="283" t="s">
        <v>220</v>
      </c>
      <c r="R2" s="283" t="s">
        <v>225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1160636229.055681</v>
      </c>
      <c r="D7" s="38">
        <f>C7-B7</f>
        <v>33857636.05568099</v>
      </c>
      <c r="E7" s="5">
        <f>D7/B7</f>
        <v>3.004817118999082E-2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1199638191.9534881</v>
      </c>
      <c r="D8" s="38">
        <f t="shared" ref="D8:D23" si="0">C8-B8</f>
        <v>-3184052.0465118885</v>
      </c>
      <c r="E8" s="5">
        <f t="shared" ref="E8:E23" si="1">D8/B8</f>
        <v>-2.6471509505205729E-3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1275643895.298501</v>
      </c>
      <c r="D9" s="38">
        <f t="shared" si="0"/>
        <v>3092738.2985010147</v>
      </c>
      <c r="E9" s="5">
        <f t="shared" si="1"/>
        <v>2.4303449660853316E-3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1379213967.0884619</v>
      </c>
      <c r="D10" s="38">
        <f t="shared" si="0"/>
        <v>28398576.988461733</v>
      </c>
      <c r="E10" s="5">
        <f t="shared" si="1"/>
        <v>2.1023285044420022E-2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1382039533.6418393</v>
      </c>
      <c r="D11" s="38">
        <f t="shared" si="0"/>
        <v>-10134058.158160686</v>
      </c>
      <c r="E11" s="5">
        <f>D11/B11</f>
        <v>-7.2793064154147149E-3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1416590403.2563884</v>
      </c>
      <c r="D12" s="38">
        <f t="shared" si="0"/>
        <v>-4387326.7436115742</v>
      </c>
      <c r="E12" s="5">
        <f t="shared" si="1"/>
        <v>-3.087540818540185E-3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1470575513.6215622</v>
      </c>
      <c r="D13" s="38">
        <f t="shared" si="0"/>
        <v>-48569242.378437757</v>
      </c>
      <c r="E13" s="5">
        <f t="shared" si="1"/>
        <v>-3.1971437999314505E-2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1500853265.2510455</v>
      </c>
      <c r="D14" s="38">
        <f t="shared" si="0"/>
        <v>-22864264.748954535</v>
      </c>
      <c r="E14" s="5">
        <f t="shared" si="1"/>
        <v>-1.5005579642412156E-2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1539378098.2646749</v>
      </c>
      <c r="D15" s="38">
        <f t="shared" si="0"/>
        <v>-31027831.735325098</v>
      </c>
      <c r="E15" s="5">
        <f t="shared" si="1"/>
        <v>-1.9757841678122737E-2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1627237981.0482955</v>
      </c>
      <c r="D16" s="38">
        <f t="shared" si="0"/>
        <v>-13750680.951704502</v>
      </c>
      <c r="E16" s="5">
        <f t="shared" si="1"/>
        <v>-8.3795100296095177E-3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1634026222.3421593</v>
      </c>
      <c r="D17" s="38">
        <f t="shared" si="0"/>
        <v>34666178.342159271</v>
      </c>
      <c r="E17" s="5">
        <f t="shared" si="1"/>
        <v>2.1675030880138252E-2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v>457225682.57655197</v>
      </c>
      <c r="K17" s="40">
        <v>248250590.658225</v>
      </c>
      <c r="L17" s="40">
        <v>252101813.91</v>
      </c>
      <c r="M17" s="40"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1622797318.6380689</v>
      </c>
      <c r="D18" s="38">
        <f t="shared" si="0"/>
        <v>13603395.638068914</v>
      </c>
      <c r="E18" s="5">
        <f t="shared" si="1"/>
        <v>8.453546489106966E-3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v>471077396.07126898</v>
      </c>
      <c r="K18" s="40">
        <v>226838923.199981</v>
      </c>
      <c r="L18" s="40">
        <v>252092348.47999129</v>
      </c>
      <c r="M18" s="40"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1601223664.943572</v>
      </c>
      <c r="D19" s="38">
        <f t="shared" si="0"/>
        <v>43700435.943572044</v>
      </c>
      <c r="E19" s="5">
        <f t="shared" si="1"/>
        <v>2.8057646351528055E-2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v>456048382.432253</v>
      </c>
      <c r="K19" s="40">
        <v>220203261.21123001</v>
      </c>
      <c r="L19" s="40">
        <v>230297755.10999835</v>
      </c>
      <c r="M19" s="40"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1444459368.9156191</v>
      </c>
      <c r="D20" s="38">
        <f t="shared" si="0"/>
        <v>-5895477.0843808651</v>
      </c>
      <c r="E20" s="5">
        <f t="shared" si="1"/>
        <v>-4.0648515090222718E-3</v>
      </c>
      <c r="F20" s="24">
        <f t="shared" si="2"/>
        <v>1.0253741904154052</v>
      </c>
      <c r="G20" s="27">
        <f>SUM(H20:P20)</f>
        <v>1414463967.9417171</v>
      </c>
      <c r="H20" s="89">
        <v>379582713.77996498</v>
      </c>
      <c r="I20" s="89">
        <v>160300294.19006801</v>
      </c>
      <c r="J20" s="89">
        <v>432461966.79929602</v>
      </c>
      <c r="K20" s="89">
        <v>193002685.32998699</v>
      </c>
      <c r="L20" s="89">
        <v>180679078.79999399</v>
      </c>
      <c r="M20" s="89">
        <v>43206777.520000003</v>
      </c>
      <c r="N20" s="89">
        <v>9470530.1599761192</v>
      </c>
      <c r="O20" s="89">
        <v>2135656.9424311598</v>
      </c>
      <c r="P20" s="89"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1492411339.98773</v>
      </c>
      <c r="D21" s="38">
        <f t="shared" si="0"/>
        <v>-20754290.012269974</v>
      </c>
      <c r="E21" s="5">
        <f t="shared" si="1"/>
        <v>-1.3715808501591445E-2</v>
      </c>
      <c r="F21" s="24">
        <f t="shared" si="2"/>
        <v>1.0274097708961136</v>
      </c>
      <c r="G21" s="27">
        <f>SUM(H21:P21)</f>
        <v>1472796612.2808106</v>
      </c>
      <c r="H21" s="89">
        <v>396266835.39498103</v>
      </c>
      <c r="I21" s="89">
        <v>163479892.81864899</v>
      </c>
      <c r="J21" s="89">
        <v>426513755.56307799</v>
      </c>
      <c r="K21" s="89">
        <v>220917668.45862401</v>
      </c>
      <c r="L21" s="89">
        <v>196557280.622706</v>
      </c>
      <c r="M21" s="89">
        <v>43796746.469999999</v>
      </c>
      <c r="N21" s="89">
        <v>9519205.9225450996</v>
      </c>
      <c r="O21" s="89">
        <v>2130241.9105078499</v>
      </c>
      <c r="P21" s="89">
        <v>13614985.1197195</v>
      </c>
      <c r="R21" s="6">
        <f>P21/Summary!K68*Summary!K67</f>
        <v>36195843.353415452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1537757751.8746831</v>
      </c>
      <c r="D22" s="38">
        <f t="shared" si="0"/>
        <v>18318484.164683104</v>
      </c>
      <c r="E22" s="5">
        <f t="shared" si="1"/>
        <v>1.2056081841488491E-2</v>
      </c>
      <c r="F22" s="24">
        <f t="shared" si="2"/>
        <v>1.0309529175845538</v>
      </c>
      <c r="G22" s="27">
        <f>SUM(H22:P22)</f>
        <v>1473820231.5484333</v>
      </c>
      <c r="H22" s="89">
        <v>396556720.36740702</v>
      </c>
      <c r="I22" s="89">
        <v>158322069.24360299</v>
      </c>
      <c r="J22" s="89">
        <v>437159036.082142</v>
      </c>
      <c r="K22" s="89">
        <v>240767174.87713</v>
      </c>
      <c r="L22" s="89">
        <v>169195800.19187</v>
      </c>
      <c r="M22" s="89">
        <v>46753740.939999998</v>
      </c>
      <c r="N22" s="89">
        <v>9519485.5138937496</v>
      </c>
      <c r="O22" s="89">
        <v>2067610.5874618399</v>
      </c>
      <c r="P22" s="89">
        <v>13478593.7449254</v>
      </c>
      <c r="R22" s="6">
        <f>P22/Summary!L68*Summary!L67</f>
        <v>37787891.162206024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1511521114.71822</v>
      </c>
      <c r="D23" s="38">
        <f t="shared" si="0"/>
        <v>-15070221.571780205</v>
      </c>
      <c r="E23" s="5">
        <f t="shared" si="1"/>
        <v>-9.8718112788486155E-3</v>
      </c>
      <c r="F23" s="24">
        <f t="shared" si="2"/>
        <v>1.0224135643396408</v>
      </c>
      <c r="G23" s="27">
        <f>SUM(H23:P23)</f>
        <v>1493125081.2150552</v>
      </c>
      <c r="H23" s="89">
        <v>399587578.131836</v>
      </c>
      <c r="I23" s="89">
        <v>158595034.37600499</v>
      </c>
      <c r="J23" s="89">
        <v>437401279.48903602</v>
      </c>
      <c r="K23" s="89">
        <v>226229939.170288</v>
      </c>
      <c r="L23" s="89">
        <v>201189505.21250001</v>
      </c>
      <c r="M23" s="89">
        <v>45452655.189999998</v>
      </c>
      <c r="N23" s="89">
        <v>9645171.1912231408</v>
      </c>
      <c r="O23" s="89">
        <v>2015389.59674505</v>
      </c>
      <c r="P23" s="89">
        <v>13008528.857421899</v>
      </c>
      <c r="R23" s="6">
        <f>P23/Summary!M68*Summary!M67</f>
        <v>31782231.496466897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1552349298.4519138</v>
      </c>
      <c r="G24" s="20">
        <f>C24/F27</f>
        <v>1504944738.6993611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1552440957.9431405</v>
      </c>
      <c r="G25" s="20">
        <f>C25/F27</f>
        <v>1505033599.1569984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706685.75359590724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8639.3480086025284</v>
      </c>
      <c r="I42" s="27">
        <f>I20/'Rate Class Customer Model'!C13</f>
        <v>35304.546677693645</v>
      </c>
      <c r="J42" s="27">
        <f>J20/'Rate Class Customer Model'!D13</f>
        <v>624043.24213462626</v>
      </c>
      <c r="K42" s="27">
        <f>K20/'Rate Class Customer Model'!E13</f>
        <v>7283120.2011315841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760.1051534954147</v>
      </c>
      <c r="O42" s="27">
        <f>O20/'Rate Class Customer Model'!I13</f>
        <v>4288.467755885863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8821.514350797097</v>
      </c>
      <c r="I43" s="27">
        <f>I21/'Rate Class Customer Model'!C14</f>
        <v>35508.230412391182</v>
      </c>
      <c r="J43" s="27">
        <f>J21/'Rate Class Customer Model'!D14</f>
        <v>602420.55870491243</v>
      </c>
      <c r="K43" s="27">
        <f>K21/'Rate Class Customer Model'!E14</f>
        <v>8496833.4022547696</v>
      </c>
      <c r="L43" s="27">
        <f>L21/'Rate Class Customer Model'!F14</f>
        <v>98278640.311352998</v>
      </c>
      <c r="M43" s="27">
        <f>M21/'Rate Class Customer Model'!G14</f>
        <v>43796746.469999999</v>
      </c>
      <c r="N43" s="27">
        <f>N21/'Rate Class Customer Model'!H14</f>
        <v>757.98908488633992</v>
      </c>
      <c r="O43" s="27">
        <f>O21/'Rate Class Customer Model'!I14</f>
        <v>3963.2407637355345</v>
      </c>
      <c r="P43" s="27">
        <f>P21/'Rate Class Customer Model'!J14</f>
        <v>13614985.1197195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8662.1317016504199</v>
      </c>
      <c r="I44" s="27">
        <f>I22/'Rate Class Customer Model'!C15</f>
        <v>34198.524515304678</v>
      </c>
      <c r="J44" s="27">
        <f>J22/'Rate Class Customer Model'!D15</f>
        <v>604228.10792279476</v>
      </c>
      <c r="K44" s="27">
        <f>K22/'Rate Class Customer Model'!E15</f>
        <v>8598827.6741832141</v>
      </c>
      <c r="L44" s="27">
        <f>L22/'Rate Class Customer Model'!F15</f>
        <v>84597900.095935002</v>
      </c>
      <c r="M44" s="27">
        <f>M22/'Rate Class Customer Model'!G15</f>
        <v>46753740.939999998</v>
      </c>
      <c r="N44" s="27">
        <f>N22/'Rate Class Customer Model'!H15</f>
        <v>754.10825158583191</v>
      </c>
      <c r="O44" s="27">
        <f>O22/'Rate Class Customer Model'!I15</f>
        <v>4018.6794702854031</v>
      </c>
      <c r="P44" s="27">
        <f>P22/'Rate Class Customer Model'!J15</f>
        <v>13478593.7449254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8633.4779809615957</v>
      </c>
      <c r="I45" s="27">
        <f>I23/'Rate Class Customer Model'!C16</f>
        <v>34025.967469642783</v>
      </c>
      <c r="J45" s="27">
        <f>J23/'Rate Class Customer Model'!D16</f>
        <v>593891.75762258796</v>
      </c>
      <c r="K45" s="27">
        <f>K23/'Rate Class Customer Model'!E16</f>
        <v>8378886.6359365927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4108.8472920388376</v>
      </c>
      <c r="P45" s="27">
        <f>P23/'Rate Class Customer Model'!J16</f>
        <v>13008528.857421899</v>
      </c>
      <c r="S45" s="25"/>
    </row>
    <row r="46" spans="1:19" x14ac:dyDescent="0.2">
      <c r="A46">
        <v>2013</v>
      </c>
      <c r="H46" s="20">
        <f>H45*H64</f>
        <v>8569.1379285788462</v>
      </c>
      <c r="I46" s="20">
        <f t="shared" ref="I46:P46" si="5">I45*I64</f>
        <v>33767.807239866699</v>
      </c>
      <c r="J46" s="20">
        <f t="shared" si="5"/>
        <v>582953.36298319732</v>
      </c>
      <c r="K46" s="20">
        <f t="shared" si="5"/>
        <v>8287423.494096945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3878.4649435302408</v>
      </c>
      <c r="P46" s="20">
        <f t="shared" si="5"/>
        <v>12809530.880362755</v>
      </c>
    </row>
    <row r="47" spans="1:19" x14ac:dyDescent="0.2">
      <c r="A47">
        <v>2014</v>
      </c>
      <c r="H47" s="20">
        <f>H46*H64</f>
        <v>8505.2773634143105</v>
      </c>
      <c r="I47" s="20">
        <f t="shared" ref="I47:P47" si="6">I46*I64</f>
        <v>33511.605711317774</v>
      </c>
      <c r="J47" s="20">
        <f t="shared" si="6"/>
        <v>572216.43346897699</v>
      </c>
      <c r="K47" s="20">
        <f t="shared" si="6"/>
        <v>8196958.755348145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3661.0000929795688</v>
      </c>
      <c r="P47" s="20">
        <f t="shared" si="6"/>
        <v>12613577.074962655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0.93787037114654692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0.991965702295459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0.96876130065526012</v>
      </c>
      <c r="I59" s="25">
        <f t="shared" si="9"/>
        <v>0.92251033519881498</v>
      </c>
      <c r="J59" s="25">
        <f t="shared" si="9"/>
        <v>0.92980788741964282</v>
      </c>
      <c r="K59" s="25">
        <f t="shared" si="9"/>
        <v>0.92608694580625217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0.99472851365597725</v>
      </c>
      <c r="O59" s="25">
        <f t="shared" si="9"/>
        <v>0.92784767185692141</v>
      </c>
    </row>
    <row r="60" spans="1:18" x14ac:dyDescent="0.2">
      <c r="A60" s="91">
        <v>2010</v>
      </c>
      <c r="D60" s="6"/>
      <c r="H60" s="25">
        <f t="shared" ref="H60:P60" si="10">H43/H42</f>
        <v>1.0210856585489065</v>
      </c>
      <c r="I60" s="25">
        <f t="shared" si="10"/>
        <v>1.0057693343737573</v>
      </c>
      <c r="J60" s="25">
        <f t="shared" si="10"/>
        <v>0.96535066487419929</v>
      </c>
      <c r="K60" s="25">
        <f t="shared" si="10"/>
        <v>1.166647421380552</v>
      </c>
      <c r="L60" s="25">
        <f t="shared" si="10"/>
        <v>1.0878806883905394</v>
      </c>
      <c r="M60" s="25">
        <f t="shared" si="10"/>
        <v>1.0136545464360749</v>
      </c>
      <c r="N60" s="99">
        <f t="shared" si="10"/>
        <v>0.99721608438076781</v>
      </c>
      <c r="O60" s="99">
        <f t="shared" si="10"/>
        <v>0.92416242568130336</v>
      </c>
      <c r="P60" s="99">
        <f t="shared" si="10"/>
        <v>0.99931891366796444</v>
      </c>
      <c r="R60" s="99"/>
    </row>
    <row r="61" spans="1:18" x14ac:dyDescent="0.2">
      <c r="A61" s="91">
        <v>2011</v>
      </c>
      <c r="D61" s="6"/>
      <c r="H61" s="25">
        <f>H44/H43</f>
        <v>0.98193250695870882</v>
      </c>
      <c r="I61" s="25">
        <f t="shared" ref="I61:P61" si="11">I44/I43</f>
        <v>0.96311542755367896</v>
      </c>
      <c r="J61" s="25">
        <f t="shared" si="11"/>
        <v>1.0030004773106818</v>
      </c>
      <c r="K61" s="25">
        <f t="shared" si="11"/>
        <v>1.0120037980150791</v>
      </c>
      <c r="L61" s="25">
        <f t="shared" si="11"/>
        <v>0.86079640324615259</v>
      </c>
      <c r="M61" s="25">
        <f t="shared" si="11"/>
        <v>1.0675163044822402</v>
      </c>
      <c r="N61" s="25">
        <f t="shared" si="11"/>
        <v>0.99488009342365402</v>
      </c>
      <c r="O61" s="25">
        <f t="shared" si="11"/>
        <v>1.0139882257613881</v>
      </c>
      <c r="P61" s="25">
        <f t="shared" si="11"/>
        <v>0.98998226045825388</v>
      </c>
      <c r="R61" s="25"/>
    </row>
    <row r="62" spans="1:18" x14ac:dyDescent="0.2">
      <c r="A62" s="91">
        <v>2012</v>
      </c>
      <c r="D62" s="6"/>
      <c r="H62" s="25">
        <f>H45/H44</f>
        <v>0.99669207053462783</v>
      </c>
      <c r="I62" s="25">
        <f t="shared" ref="I62:P62" si="12">I45/I44</f>
        <v>0.99495425466134735</v>
      </c>
      <c r="J62" s="25">
        <f t="shared" si="12"/>
        <v>0.98289329780479606</v>
      </c>
      <c r="K62" s="25">
        <f t="shared" si="12"/>
        <v>0.97442197395036023</v>
      </c>
      <c r="L62" s="25">
        <f t="shared" si="12"/>
        <v>1.1890927847165755</v>
      </c>
      <c r="M62" s="25">
        <f t="shared" si="12"/>
        <v>0.9721715156083508</v>
      </c>
      <c r="N62" s="25">
        <f t="shared" si="12"/>
        <v>1.0053582731702846</v>
      </c>
      <c r="O62" s="25">
        <f t="shared" si="12"/>
        <v>1.0224371767940554</v>
      </c>
      <c r="P62" s="25">
        <f t="shared" si="12"/>
        <v>0.96512507933696889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0.99241284674693198</v>
      </c>
      <c r="J64" s="25">
        <f t="shared" si="13"/>
        <v>0.98158183793764342</v>
      </c>
      <c r="K64" s="25">
        <f t="shared" si="13"/>
        <v>0.98908409364946326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0.94393017502622256</v>
      </c>
      <c r="P64" s="25">
        <f t="shared" si="13"/>
        <v>0.98470249947244359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0.99241284674693198</v>
      </c>
      <c r="J66" s="25">
        <f t="shared" si="14"/>
        <v>0.98158183793764342</v>
      </c>
      <c r="K66" s="25">
        <f t="shared" si="14"/>
        <v>0.98908409364946326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0.94393017502622256</v>
      </c>
      <c r="P66" s="25">
        <f t="shared" si="14"/>
        <v>0.98470249947244359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</v>
      </c>
      <c r="H69" s="6">
        <f>H46*'Rate Class Customer Model'!B17</f>
        <v>404278742.57322413</v>
      </c>
      <c r="I69" s="6">
        <f>I46*'Rate Class Customer Model'!C17</f>
        <v>158728313.96442959</v>
      </c>
      <c r="J69" s="6">
        <f>J46*'Rate Class Customer Model'!D17</f>
        <v>439729049.86487174</v>
      </c>
      <c r="K69" s="6">
        <f>K46*'Rate Class Customer Model'!E17</f>
        <v>225331454.26451641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1886385.4314845311</v>
      </c>
      <c r="P69" s="6">
        <f>P46*'Rate Class Customer Model'!J17</f>
        <v>12809530.880362755</v>
      </c>
    </row>
    <row r="70" spans="1:20" x14ac:dyDescent="0.2">
      <c r="A70" s="18">
        <v>2014</v>
      </c>
      <c r="G70" s="6">
        <f>SUM(H70:P70)</f>
        <v>1514150580.4617984</v>
      </c>
      <c r="H70" s="6">
        <f>H47*'Rate Class Customer Model'!B18</f>
        <v>409024981.35881233</v>
      </c>
      <c r="I70" s="6">
        <f>I47*'Rate Class Customer Model'!C18</f>
        <v>158861705.55792898</v>
      </c>
      <c r="J70" s="6">
        <f>J47*'Rate Class Customer Model'!D18</f>
        <v>442069208.21298075</v>
      </c>
      <c r="K70" s="6">
        <f>K47*'Rate Class Customer Model'!E18</f>
        <v>224436537.74199623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1765638.7637725961</v>
      </c>
      <c r="P70" s="6">
        <f>P47*'Rate Class Customer Model'!J18</f>
        <v>12613577.074962655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1504944738.6993611</v>
      </c>
      <c r="H73" s="6">
        <f>H69+H81-H85</f>
        <v>403188540.92166173</v>
      </c>
      <c r="I73" s="6">
        <f t="shared" ref="I73:O73" si="15">I69+I81-I85</f>
        <v>158300277.92936057</v>
      </c>
      <c r="J73" s="6">
        <f t="shared" si="15"/>
        <v>438308861.57751542</v>
      </c>
      <c r="K73" s="6">
        <f t="shared" si="15"/>
        <v>224487825.83876389</v>
      </c>
      <c r="L73" s="6">
        <f t="shared" si="15"/>
        <v>204337521.74348557</v>
      </c>
      <c r="M73" s="6">
        <f t="shared" si="15"/>
        <v>45724232.197163619</v>
      </c>
      <c r="N73" s="6">
        <f t="shared" si="15"/>
        <v>9630507.6141368318</v>
      </c>
      <c r="O73" s="6">
        <f t="shared" si="15"/>
        <v>1878439.9969108163</v>
      </c>
      <c r="P73" s="6">
        <f>P69+P81-P85+P89</f>
        <v>44105573.673745528</v>
      </c>
      <c r="Q73" s="6">
        <f>SUM(H73:P73)</f>
        <v>1529961781.492744</v>
      </c>
      <c r="R73" s="6">
        <f>G73-Q73</f>
        <v>-25017042.793382883</v>
      </c>
      <c r="S73" s="6">
        <f>P89</f>
        <v>31296042.793382775</v>
      </c>
      <c r="T73" s="6">
        <f>R73+S73</f>
        <v>6278999.999999892</v>
      </c>
    </row>
    <row r="74" spans="1:20" x14ac:dyDescent="0.2">
      <c r="A74" s="18">
        <v>2014</v>
      </c>
      <c r="G74" s="20">
        <f>G25</f>
        <v>1505033599.1569984</v>
      </c>
      <c r="H74" s="6">
        <f>H70+H82-H86</f>
        <v>400646088.43738562</v>
      </c>
      <c r="I74" s="6">
        <f t="shared" ref="I74:O74" si="16">I70+I82-I86</f>
        <v>155607417.2360687</v>
      </c>
      <c r="J74" s="6">
        <f t="shared" si="16"/>
        <v>434548089.30767494</v>
      </c>
      <c r="K74" s="6">
        <f t="shared" si="16"/>
        <v>221369806.97822428</v>
      </c>
      <c r="L74" s="6">
        <f t="shared" si="16"/>
        <v>207072349.00780675</v>
      </c>
      <c r="M74" s="6">
        <f t="shared" si="16"/>
        <v>45894936.545319714</v>
      </c>
      <c r="N74" s="6">
        <f t="shared" si="16"/>
        <v>9594439.4543452542</v>
      </c>
      <c r="O74" s="6">
        <f t="shared" si="16"/>
        <v>1746895.1152104537</v>
      </c>
      <c r="P74" s="6">
        <f>P70+P82-P86+P90</f>
        <v>43430868.637203231</v>
      </c>
      <c r="Q74" s="6">
        <f>SUM(H74:P74)</f>
        <v>1519910890.719239</v>
      </c>
      <c r="R74" s="6">
        <f>G74-Q74</f>
        <v>-14877291.562240601</v>
      </c>
      <c r="S74" s="6">
        <f>P90</f>
        <v>30817291.562240575</v>
      </c>
      <c r="T74" s="6">
        <f>R74+S74</f>
        <v>15939999.999999974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1390552.5831830502</v>
      </c>
      <c r="H77" s="6">
        <f t="shared" ref="H77:P78" si="17">H69*H$76</f>
        <v>299076057.27141976</v>
      </c>
      <c r="I77" s="6">
        <f t="shared" si="17"/>
        <v>117423533.11891833</v>
      </c>
      <c r="J77" s="6">
        <f t="shared" si="17"/>
        <v>210873698.4479385</v>
      </c>
      <c r="K77" s="6">
        <f t="shared" si="17"/>
        <v>51487570.514172539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678860859.35244918</v>
      </c>
    </row>
    <row r="78" spans="1:20" x14ac:dyDescent="0.2">
      <c r="A78" s="18">
        <v>2014</v>
      </c>
      <c r="G78" s="6">
        <f>G74-G70</f>
        <v>-9116981.3048000336</v>
      </c>
      <c r="H78" s="6">
        <f t="shared" si="17"/>
        <v>302587214.87972587</v>
      </c>
      <c r="I78" s="6">
        <f t="shared" si="17"/>
        <v>117522213.1326213</v>
      </c>
      <c r="J78" s="6">
        <f t="shared" si="17"/>
        <v>211995930.07209709</v>
      </c>
      <c r="K78" s="6">
        <f t="shared" si="17"/>
        <v>51283084.736951813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683388442.82139611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612615.94077418826</v>
      </c>
      <c r="I81" s="6">
        <f t="shared" ref="I81:P81" si="18">I77/$Q$77*$G$77</f>
        <v>240525.8677908534</v>
      </c>
      <c r="J81" s="6">
        <f t="shared" si="18"/>
        <v>431945.60720712517</v>
      </c>
      <c r="K81" s="6">
        <f t="shared" si="18"/>
        <v>105465.16741088316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1390552.5831830499</v>
      </c>
    </row>
    <row r="82" spans="1:17" x14ac:dyDescent="0.2">
      <c r="A82" s="18">
        <v>2014</v>
      </c>
      <c r="G82" s="26"/>
      <c r="H82" s="6">
        <f>H78/$Q$78*$G$78</f>
        <v>-4036770.024586082</v>
      </c>
      <c r="I82" s="6">
        <f t="shared" ref="I82:P82" si="19">I78/$Q$78*$G$78</f>
        <v>-1567845.9758630376</v>
      </c>
      <c r="J82" s="6">
        <f t="shared" si="19"/>
        <v>-2828205.4685934056</v>
      </c>
      <c r="K82" s="6">
        <f t="shared" si="19"/>
        <v>-684159.83575750818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-9116981.3048000336</v>
      </c>
    </row>
    <row r="83" spans="1:17" x14ac:dyDescent="0.2">
      <c r="G83" s="26"/>
    </row>
    <row r="84" spans="1:17" x14ac:dyDescent="0.2">
      <c r="A84" s="176" t="s">
        <v>161</v>
      </c>
    </row>
    <row r="85" spans="1:17" x14ac:dyDescent="0.2">
      <c r="A85" s="18">
        <v>2013</v>
      </c>
      <c r="G85" s="6">
        <f>'CDM Activity'!R13*0.5+'CDM Activity'!R14*0.5</f>
        <v>6279000</v>
      </c>
      <c r="H85" s="6">
        <f>$G$85*H69/($G$69-$P$69)</f>
        <v>1702817.592336579</v>
      </c>
      <c r="I85" s="6">
        <f t="shared" ref="I85:O85" si="20">$G$85*I69/($G$69-$P$69)</f>
        <v>668561.90285988059</v>
      </c>
      <c r="J85" s="6">
        <f t="shared" si="20"/>
        <v>1852133.8945634307</v>
      </c>
      <c r="K85" s="6">
        <f t="shared" si="20"/>
        <v>949093.5931634031</v>
      </c>
      <c r="L85" s="6">
        <f t="shared" si="20"/>
        <v>864307.83662928792</v>
      </c>
      <c r="M85" s="6">
        <f t="shared" si="20"/>
        <v>193404.57824225147</v>
      </c>
      <c r="N85" s="6">
        <f t="shared" si="20"/>
        <v>40735.167631452678</v>
      </c>
      <c r="O85" s="6">
        <f t="shared" si="20"/>
        <v>7945.434573714917</v>
      </c>
      <c r="Q85" s="6">
        <f>SUM(H85:P85)</f>
        <v>6279000.0000000009</v>
      </c>
    </row>
    <row r="86" spans="1:17" x14ac:dyDescent="0.2">
      <c r="A86" s="18">
        <v>2014</v>
      </c>
      <c r="G86" s="6">
        <f>'CDM Activity'!S13*0.5+'CDM Activity'!S14+'CDM Activity'!S15*0.5</f>
        <v>15940000</v>
      </c>
      <c r="H86" s="6">
        <f>$G$86*H70/($G$70-$P$70)</f>
        <v>4342122.896840645</v>
      </c>
      <c r="I86" s="6">
        <f t="shared" ref="I86:O86" si="21">$G$86*I70/($G$70-$P$70)</f>
        <v>1686442.3459972579</v>
      </c>
      <c r="J86" s="6">
        <f t="shared" si="21"/>
        <v>4692913.4367123721</v>
      </c>
      <c r="K86" s="6">
        <f t="shared" si="21"/>
        <v>2382570.9280144568</v>
      </c>
      <c r="L86" s="6">
        <f t="shared" si="21"/>
        <v>2221822.7659718557</v>
      </c>
      <c r="M86" s="6">
        <f t="shared" si="21"/>
        <v>492438.58655112225</v>
      </c>
      <c r="N86" s="6">
        <f t="shared" si="21"/>
        <v>102945.39135014692</v>
      </c>
      <c r="O86" s="6">
        <f t="shared" si="21"/>
        <v>18743.648562142342</v>
      </c>
      <c r="Q86" s="6">
        <f>SUM(H86:P86)</f>
        <v>15940000</v>
      </c>
    </row>
    <row r="88" spans="1:17" x14ac:dyDescent="0.2">
      <c r="A88" s="176" t="s">
        <v>221</v>
      </c>
    </row>
    <row r="89" spans="1:17" x14ac:dyDescent="0.2">
      <c r="A89" s="18">
        <v>2013</v>
      </c>
      <c r="G89" s="6">
        <f>G69+P89</f>
        <v>1534850228.9095609</v>
      </c>
      <c r="P89" s="6">
        <f>R23*P66</f>
        <v>31296042.793382775</v>
      </c>
    </row>
    <row r="90" spans="1:17" x14ac:dyDescent="0.2">
      <c r="A90" s="18">
        <v>2014</v>
      </c>
      <c r="G90" s="6">
        <f>G73+P89</f>
        <v>1536240781.492744</v>
      </c>
      <c r="P90" s="6">
        <f>P89*P66</f>
        <v>30817291.562240575</v>
      </c>
    </row>
    <row r="91" spans="1:17" x14ac:dyDescent="0.2">
      <c r="G91" s="6">
        <f>G89-G90</f>
        <v>-1390552.5831830502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46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162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220</v>
      </c>
      <c r="K2" s="282" t="s">
        <v>226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v>45526</v>
      </c>
      <c r="C60" s="95">
        <v>4627</v>
      </c>
      <c r="D60" s="95">
        <v>707</v>
      </c>
      <c r="E60" s="95">
        <v>27</v>
      </c>
      <c r="F60" s="95">
        <v>2</v>
      </c>
      <c r="G60" s="95">
        <v>1</v>
      </c>
      <c r="H60" s="95">
        <v>12591</v>
      </c>
      <c r="I60" s="95">
        <v>537</v>
      </c>
      <c r="J60" s="89">
        <v>2</v>
      </c>
      <c r="K60" s="89"/>
    </row>
    <row r="61" spans="1:11" x14ac:dyDescent="0.2">
      <c r="A61" s="4">
        <v>2011</v>
      </c>
      <c r="B61" s="89">
        <v>46035</v>
      </c>
      <c r="C61" s="89">
        <v>4632</v>
      </c>
      <c r="D61" s="89">
        <v>740</v>
      </c>
      <c r="E61" s="89">
        <v>29</v>
      </c>
      <c r="F61" s="89">
        <v>2</v>
      </c>
      <c r="G61" s="89">
        <v>1</v>
      </c>
      <c r="H61" s="89">
        <v>12656</v>
      </c>
      <c r="I61" s="89">
        <v>492</v>
      </c>
      <c r="J61" s="89">
        <v>2</v>
      </c>
      <c r="K61" s="89"/>
    </row>
    <row r="62" spans="1:11" x14ac:dyDescent="0.2">
      <c r="A62" s="4">
        <v>2012</v>
      </c>
      <c r="B62" s="89">
        <v>46532</v>
      </c>
      <c r="C62" s="89">
        <v>4690</v>
      </c>
      <c r="D62" s="89">
        <v>733</v>
      </c>
      <c r="E62" s="89">
        <v>25</v>
      </c>
      <c r="F62" s="89">
        <v>2</v>
      </c>
      <c r="G62" s="89">
        <v>1</v>
      </c>
      <c r="H62" s="89">
        <v>12788</v>
      </c>
      <c r="I62" s="89">
        <v>489</v>
      </c>
      <c r="J62" s="89"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14" zoomScaleNormal="100" workbookViewId="0">
      <selection activeCell="L29" sqref="L29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162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v>1337289.3743672101</v>
      </c>
      <c r="C12" s="100">
        <v>530195.33860000002</v>
      </c>
      <c r="D12" s="100">
        <v>411895.9939</v>
      </c>
      <c r="E12" s="100">
        <v>73037.789999999994</v>
      </c>
      <c r="F12" s="100">
        <v>26450.66</v>
      </c>
      <c r="G12" s="100">
        <v>107590.989135952</v>
      </c>
      <c r="H12" s="6">
        <f t="shared" ref="H12:H17" si="1">SUM(B12:G12)</f>
        <v>2486460.1460031625</v>
      </c>
    </row>
    <row r="13" spans="1:9" x14ac:dyDescent="0.2">
      <c r="A13" s="30">
        <v>2010</v>
      </c>
      <c r="B13" s="100">
        <v>1294863.05220355</v>
      </c>
      <c r="C13" s="100">
        <v>570059.72519999999</v>
      </c>
      <c r="D13" s="100">
        <v>421436.3223</v>
      </c>
      <c r="E13" s="100">
        <v>75928.2</v>
      </c>
      <c r="F13" s="100">
        <v>26613.74</v>
      </c>
      <c r="G13" s="100">
        <v>101371.27183867899</v>
      </c>
      <c r="H13" s="6">
        <f t="shared" si="1"/>
        <v>2490272.3115422293</v>
      </c>
    </row>
    <row r="14" spans="1:9" x14ac:dyDescent="0.2">
      <c r="A14" s="30">
        <v>2011</v>
      </c>
      <c r="B14" s="100">
        <v>1331831.0365679199</v>
      </c>
      <c r="C14" s="100">
        <v>582382.60674197297</v>
      </c>
      <c r="D14" s="100">
        <v>431698.8584427</v>
      </c>
      <c r="E14" s="100">
        <v>81847.960000000006</v>
      </c>
      <c r="F14" s="100">
        <v>26604.0272498757</v>
      </c>
      <c r="G14" s="100">
        <v>107151.213530009</v>
      </c>
      <c r="H14" s="6">
        <f t="shared" si="1"/>
        <v>2561515.7025324772</v>
      </c>
    </row>
    <row r="15" spans="1:9" x14ac:dyDescent="0.2">
      <c r="A15" s="30">
        <v>2012</v>
      </c>
      <c r="B15" s="100">
        <v>1350651.40979942</v>
      </c>
      <c r="C15" s="100">
        <v>527946.71947526897</v>
      </c>
      <c r="D15" s="100">
        <v>483777.43670654303</v>
      </c>
      <c r="E15" s="100">
        <v>81650.759999999995</v>
      </c>
      <c r="F15" s="100">
        <v>26876.1599016972</v>
      </c>
      <c r="G15" s="100">
        <v>100035.046333313</v>
      </c>
      <c r="H15" s="6">
        <f t="shared" si="1"/>
        <v>2570937.532216242</v>
      </c>
      <c r="I15" s="109"/>
    </row>
    <row r="16" spans="1:9" x14ac:dyDescent="0.2">
      <c r="A16" s="30">
        <v>2013</v>
      </c>
      <c r="B16" s="31">
        <f>B35*'Rate Class Energy Model'!J73</f>
        <v>1245571.5748493606</v>
      </c>
      <c r="C16" s="31">
        <f>C35*'Rate Class Energy Model'!K73</f>
        <v>533990.28943076567</v>
      </c>
      <c r="D16" s="31">
        <f>D35*'Rate Class Energy Model'!L73</f>
        <v>423390.54069697933</v>
      </c>
      <c r="E16" s="31">
        <f>E35*'Rate Class Energy Model'!M73</f>
        <v>78916.676104049038</v>
      </c>
      <c r="F16" s="31">
        <f>F35*'Rate Class Energy Model'!N73</f>
        <v>25847.553417371451</v>
      </c>
      <c r="G16" s="31">
        <f>G35*'Rate Class Energy Model'!P73</f>
        <v>91971.308330616288</v>
      </c>
      <c r="H16" s="6">
        <f t="shared" si="1"/>
        <v>2399687.9428291428</v>
      </c>
    </row>
    <row r="17" spans="1:9" x14ac:dyDescent="0.2">
      <c r="A17" s="30">
        <v>2014</v>
      </c>
      <c r="B17" s="31">
        <f>B35*'Rate Class Energy Model'!J74</f>
        <v>1234884.3370373398</v>
      </c>
      <c r="C17" s="31">
        <f>C35*'Rate Class Energy Model'!K74</f>
        <v>526573.44271505112</v>
      </c>
      <c r="D17" s="31">
        <f>D35*'Rate Class Energy Model'!L74</f>
        <v>429057.14555874991</v>
      </c>
      <c r="E17" s="31">
        <f>E35*'Rate Class Energy Model'!M74</f>
        <v>79211.2993072315</v>
      </c>
      <c r="F17" s="31">
        <f>F35*'Rate Class Energy Model'!N74</f>
        <v>25750.749206811401</v>
      </c>
      <c r="G17" s="31">
        <f>G35*'Rate Class Energy Model'!P74</f>
        <v>90564.377192908636</v>
      </c>
      <c r="H17" s="6">
        <f t="shared" si="1"/>
        <v>2386041.3510180917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2.7986266930352488E-3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3.0922704816440912E-3</v>
      </c>
      <c r="C30" s="28">
        <f>C12/'Rate Class Energy Model'!K20</f>
        <v>2.7470878847799282E-3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2.792943959123266E-3</v>
      </c>
      <c r="G30" s="28">
        <f>G12/('Rate Class Energy Model'!P20+'Rate Class Energy Model'!R20)</f>
        <v>1.9824205379008566E-3</v>
      </c>
      <c r="I30" s="28"/>
    </row>
    <row r="31" spans="1:9" x14ac:dyDescent="0.2">
      <c r="A31" s="4">
        <v>2010</v>
      </c>
      <c r="B31" s="28">
        <f>B13/'Rate Class Energy Model'!J21</f>
        <v>3.0359233091886767E-3</v>
      </c>
      <c r="C31" s="28">
        <f>C13/'Rate Class Energy Model'!K21</f>
        <v>2.5804170810664125E-3</v>
      </c>
      <c r="D31" s="28">
        <f>D13/'Rate Class Energy Model'!L21</f>
        <v>2.1440890969027598E-3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2.0351251915705984E-3</v>
      </c>
      <c r="I31" s="28"/>
    </row>
    <row r="32" spans="1:9" x14ac:dyDescent="0.2">
      <c r="A32" s="4">
        <v>2011</v>
      </c>
      <c r="B32" s="28">
        <f>B14/'Rate Class Energy Model'!J22</f>
        <v>3.0465595507390346E-3</v>
      </c>
      <c r="C32" s="28">
        <f>C14/'Rate Class Energy Model'!K22</f>
        <v>2.418862151948988E-3</v>
      </c>
      <c r="D32" s="28">
        <f>D14/'Rate Class Energy Model'!L22</f>
        <v>2.5514750245168526E-3</v>
      </c>
      <c r="E32" s="28">
        <f>E14/'Rate Class Energy Model'!M22</f>
        <v>1.7506184180007566E-3</v>
      </c>
      <c r="F32" s="28">
        <f>F14/'Rate Class Energy Model'!N22</f>
        <v>2.7946917100768686E-3</v>
      </c>
      <c r="G32" s="28">
        <f>G14/('Rate Class Energy Model'!P22+'Rate Class Energy Model'!R22)</f>
        <v>2.0900830966685551E-3</v>
      </c>
      <c r="I32" s="28"/>
    </row>
    <row r="33" spans="1:9" x14ac:dyDescent="0.2">
      <c r="A33" s="4">
        <v>2012</v>
      </c>
      <c r="B33" s="28">
        <f>B15/'Rate Class Energy Model'!J23</f>
        <v>3.0878999974056449E-3</v>
      </c>
      <c r="C33" s="28">
        <f>C15/'Rate Class Energy Model'!K23</f>
        <v>2.3336730824025571E-3</v>
      </c>
      <c r="D33" s="28">
        <f>D15/'Rate Class Energy Model'!L23</f>
        <v>2.4045858465408946E-3</v>
      </c>
      <c r="E33" s="28">
        <f>E15/'Rate Class Energy Model'!M23</f>
        <v>1.796391424410425E-3</v>
      </c>
      <c r="F33" s="28">
        <f>F15/'Rate Class Energy Model'!N23</f>
        <v>2.7864886344530428E-3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28">
        <f t="shared" ref="B35:G35" si="2">AVERAGE(B24:B33)</f>
        <v>2.8417668088352803E-3</v>
      </c>
      <c r="C35" s="28">
        <f t="shared" si="2"/>
        <v>2.3787048916153646E-3</v>
      </c>
      <c r="D35" s="28">
        <f t="shared" si="2"/>
        <v>2.0720156390488147E-3</v>
      </c>
      <c r="E35" s="28">
        <f t="shared" si="2"/>
        <v>1.7259267638165922E-3</v>
      </c>
      <c r="F35" s="28">
        <f t="shared" si="2"/>
        <v>2.6839243010855695E-3</v>
      </c>
      <c r="G35" s="28">
        <f t="shared" si="2"/>
        <v>2.0852536464198291E-3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zoomScaleNormal="100" workbookViewId="0">
      <selection activeCell="C8" sqref="C8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63.75" x14ac:dyDescent="0.2">
      <c r="B1" s="105" t="s">
        <v>110</v>
      </c>
      <c r="C1" s="352" t="s">
        <v>294</v>
      </c>
      <c r="D1" s="105" t="s">
        <v>111</v>
      </c>
      <c r="E1" s="105" t="s">
        <v>112</v>
      </c>
      <c r="F1" s="105" t="s">
        <v>113</v>
      </c>
      <c r="G1" s="105" t="s">
        <v>114</v>
      </c>
      <c r="P1" s="450" t="s">
        <v>115</v>
      </c>
      <c r="Q1" s="450"/>
      <c r="R1" s="450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51" t="s">
        <v>23</v>
      </c>
      <c r="K2" s="451"/>
      <c r="M2" s="74" t="s">
        <v>116</v>
      </c>
      <c r="N2" s="74">
        <v>1</v>
      </c>
      <c r="P2" s="452">
        <v>73660000</v>
      </c>
      <c r="Q2" s="452"/>
      <c r="R2" s="452"/>
    </row>
    <row r="3" spans="1:21" ht="13.5" thickBot="1" x14ac:dyDescent="0.25">
      <c r="A3">
        <v>2006</v>
      </c>
      <c r="B3" s="165">
        <v>4080568.0364742391</v>
      </c>
      <c r="C3" s="165">
        <v>1826895.8597920679</v>
      </c>
      <c r="D3" s="67">
        <f>B3-C3</f>
        <v>2253672.1766821714</v>
      </c>
      <c r="E3" s="114">
        <f>D3/C3</f>
        <v>1.2336073589540446</v>
      </c>
      <c r="F3" s="113">
        <f>C3</f>
        <v>1826895.8597920679</v>
      </c>
      <c r="G3" s="113">
        <f>F3</f>
        <v>1826895.8597920679</v>
      </c>
      <c r="H3" s="113">
        <f t="shared" si="0"/>
        <v>23421.741792205998</v>
      </c>
      <c r="J3" s="115">
        <f>G27</f>
        <v>1826895.8597920677</v>
      </c>
      <c r="K3" s="115">
        <f t="shared" ref="K3:K11" si="1">F3-J3</f>
        <v>0</v>
      </c>
      <c r="M3" s="74" t="s">
        <v>117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4932237.5799856689</v>
      </c>
      <c r="D4" s="67">
        <f t="shared" ref="D4:D11" si="2">B4-C4</f>
        <v>6921260.1774081271</v>
      </c>
      <c r="E4" s="114">
        <f t="shared" ref="E4:E12" si="3">D4/C4</f>
        <v>1.4032698273687452</v>
      </c>
      <c r="F4" s="113">
        <f>C4</f>
        <v>4932237.5799856689</v>
      </c>
      <c r="G4" s="113">
        <f>F4-H27</f>
        <v>1559506.7619080045</v>
      </c>
      <c r="H4" s="113">
        <f t="shared" si="0"/>
        <v>19993.676434718007</v>
      </c>
      <c r="J4" s="115">
        <f>G39</f>
        <v>4932237.5799856689</v>
      </c>
      <c r="K4" s="115">
        <f t="shared" si="1"/>
        <v>0</v>
      </c>
      <c r="M4" s="74" t="s">
        <v>118</v>
      </c>
      <c r="N4" s="74">
        <v>3</v>
      </c>
      <c r="P4" s="453" t="s">
        <v>119</v>
      </c>
      <c r="Q4" s="454"/>
      <c r="R4" s="454"/>
      <c r="S4" s="454"/>
      <c r="T4" s="455"/>
    </row>
    <row r="5" spans="1:21" x14ac:dyDescent="0.2">
      <c r="A5">
        <v>2008</v>
      </c>
      <c r="B5" s="165">
        <v>13371884.135300633</v>
      </c>
      <c r="C5" s="165">
        <v>7199424.3715859512</v>
      </c>
      <c r="D5" s="67">
        <f t="shared" si="2"/>
        <v>6172459.7637146814</v>
      </c>
      <c r="E5" s="114">
        <f t="shared" si="3"/>
        <v>0.85735462241614724</v>
      </c>
      <c r="F5" s="113">
        <f>C5</f>
        <v>7199424.3715859512</v>
      </c>
      <c r="G5" s="113">
        <f>F5-H39</f>
        <v>947604.14690889325</v>
      </c>
      <c r="H5" s="113">
        <f t="shared" si="0"/>
        <v>12148.771114216581</v>
      </c>
      <c r="J5" s="115">
        <f>G51</f>
        <v>7199424.3715859475</v>
      </c>
      <c r="K5" s="115">
        <f t="shared" si="1"/>
        <v>0</v>
      </c>
      <c r="M5" s="74" t="s">
        <v>120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11355458.395677308</v>
      </c>
      <c r="D6" s="67">
        <f t="shared" si="2"/>
        <v>9848813.3439089488</v>
      </c>
      <c r="E6" s="114">
        <f t="shared" si="3"/>
        <v>0.86731975061949984</v>
      </c>
      <c r="F6" s="113">
        <f>C6</f>
        <v>11355458.395677308</v>
      </c>
      <c r="G6" s="113">
        <f>F6-H51</f>
        <v>3354215.1305530686</v>
      </c>
      <c r="H6" s="113">
        <f t="shared" si="0"/>
        <v>43002.758084013702</v>
      </c>
      <c r="J6" s="115">
        <f>G63</f>
        <v>11355458.395677308</v>
      </c>
      <c r="K6" s="115">
        <f t="shared" si="1"/>
        <v>0</v>
      </c>
      <c r="M6" s="74" t="s">
        <v>121</v>
      </c>
      <c r="N6" s="74">
        <v>5</v>
      </c>
      <c r="P6" s="118">
        <f>P12/$P$2</f>
        <v>0.18259571001900624</v>
      </c>
      <c r="Q6" s="119">
        <f>Q12/$P$2</f>
        <v>0.17512897094759708</v>
      </c>
      <c r="R6" s="119">
        <f>R12/$P$2</f>
        <v>0.17512897094759708</v>
      </c>
      <c r="S6" s="119">
        <f>S12/$P$2</f>
        <v>0.17404289980993756</v>
      </c>
      <c r="T6" s="120">
        <f>SUM(P6:S6)</f>
        <v>0.70689655172413801</v>
      </c>
    </row>
    <row r="7" spans="1:21" x14ac:dyDescent="0.2">
      <c r="A7">
        <v>2010</v>
      </c>
      <c r="B7" s="165">
        <v>35333845.644771695</v>
      </c>
      <c r="C7" s="165">
        <v>16129896.991863357</v>
      </c>
      <c r="D7" s="67">
        <f t="shared" si="2"/>
        <v>19203948.65290834</v>
      </c>
      <c r="E7" s="114">
        <f t="shared" si="3"/>
        <v>1.1905809852719873</v>
      </c>
      <c r="F7" s="113">
        <f>C7</f>
        <v>16129896.991863357</v>
      </c>
      <c r="G7" s="113">
        <f>F7-H63</f>
        <v>1936256.5626411475</v>
      </c>
      <c r="H7" s="113">
        <f t="shared" si="0"/>
        <v>24823.802085142917</v>
      </c>
      <c r="J7" s="115">
        <f>G75</f>
        <v>16129896.991863348</v>
      </c>
      <c r="K7" s="115">
        <f t="shared" si="1"/>
        <v>0</v>
      </c>
      <c r="M7" s="74" t="s">
        <v>122</v>
      </c>
      <c r="N7" s="74">
        <v>6</v>
      </c>
      <c r="P7" s="121"/>
      <c r="Q7" s="119">
        <f>Q13/$P$2</f>
        <v>0.10738528373608472</v>
      </c>
      <c r="R7" s="119">
        <f t="shared" ref="R7:S9" si="4">R13/$P$2</f>
        <v>0.10657073038284008</v>
      </c>
      <c r="S7" s="119">
        <f t="shared" si="4"/>
        <v>0.10602769481401032</v>
      </c>
      <c r="T7" s="120">
        <f>SUM(P7:S7)</f>
        <v>0.3199837089329351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C8+(P12/2)</f>
        <v>26520632.977069873</v>
      </c>
      <c r="G8" s="113">
        <f>F8-H75</f>
        <v>8752365.0475871004</v>
      </c>
      <c r="H8" s="113">
        <f t="shared" si="0"/>
        <v>112209.80830239873</v>
      </c>
      <c r="J8" s="115">
        <f>G87</f>
        <v>26520632.977069877</v>
      </c>
      <c r="K8" s="115">
        <f t="shared" si="1"/>
        <v>0</v>
      </c>
      <c r="M8" s="74" t="s">
        <v>123</v>
      </c>
      <c r="N8" s="74">
        <v>7</v>
      </c>
      <c r="P8" s="123"/>
      <c r="Q8" s="122"/>
      <c r="R8" s="119">
        <f t="shared" si="4"/>
        <v>6.3915286451262557E-2</v>
      </c>
      <c r="S8" s="119">
        <f t="shared" si="4"/>
        <v>5.3217485745316317E-2</v>
      </c>
      <c r="T8" s="120">
        <f>SUM(P8:S8)</f>
        <v>0.11713277219657887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C9+Q12+(Q13/2)</f>
        <v>36360272.310954027</v>
      </c>
      <c r="G9" s="113">
        <f>F9-H87</f>
        <v>2433791.9859258309</v>
      </c>
      <c r="H9" s="113">
        <f t="shared" si="0"/>
        <v>31202.461358023473</v>
      </c>
      <c r="J9" s="115">
        <f>G99</f>
        <v>36360272.310954019</v>
      </c>
      <c r="K9" s="115">
        <f t="shared" si="1"/>
        <v>0</v>
      </c>
      <c r="M9" s="74" t="s">
        <v>124</v>
      </c>
      <c r="N9" s="74">
        <v>8</v>
      </c>
      <c r="P9" s="123"/>
      <c r="Q9" s="124"/>
      <c r="R9" s="122"/>
      <c r="S9" s="119">
        <f t="shared" si="4"/>
        <v>0.22033668205267445</v>
      </c>
      <c r="T9" s="120">
        <f>SUM(P9:S9)</f>
        <v>0.22033668205267445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C10+R12+(R13/2)</f>
        <v>36269649.840082139</v>
      </c>
      <c r="G10" s="113">
        <f>F10-H99</f>
        <v>-2149984.9205014184</v>
      </c>
      <c r="H10" s="113">
        <f t="shared" si="0"/>
        <v>-27563.909237197673</v>
      </c>
      <c r="J10" s="115">
        <f>G111</f>
        <v>36269649.840082146</v>
      </c>
      <c r="K10" s="115">
        <f t="shared" si="1"/>
        <v>0</v>
      </c>
      <c r="M10" s="74" t="s">
        <v>125</v>
      </c>
      <c r="N10" s="74">
        <v>9</v>
      </c>
      <c r="P10" s="121">
        <f>SUM(P6:P9)</f>
        <v>0.18259571001900624</v>
      </c>
      <c r="Q10" s="122">
        <f>SUM(Q6:Q9)</f>
        <v>0.2825142546836818</v>
      </c>
      <c r="R10" s="122">
        <f>SUM(R6:R9)</f>
        <v>0.34561498778169969</v>
      </c>
      <c r="S10" s="122">
        <f>SUM(S6:S9)</f>
        <v>0.5536247624219387</v>
      </c>
      <c r="T10" s="355">
        <f>SUM(P10:S10)</f>
        <v>1.3643497149063264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C11+S12+(S13/2)</f>
        <v>35755184.128223255</v>
      </c>
      <c r="G11" s="113">
        <f>F11-H111</f>
        <v>1304752.2977961525</v>
      </c>
      <c r="H11" s="113">
        <f t="shared" si="0"/>
        <v>16727.593561489135</v>
      </c>
      <c r="J11" s="115">
        <f>G123</f>
        <v>35755184.128223255</v>
      </c>
      <c r="K11" s="115">
        <f t="shared" si="1"/>
        <v>0</v>
      </c>
      <c r="M11" s="74" t="s">
        <v>126</v>
      </c>
      <c r="N11" s="74">
        <v>10</v>
      </c>
      <c r="P11" s="456"/>
      <c r="Q11" s="450"/>
      <c r="R11" s="450"/>
      <c r="S11" s="450"/>
      <c r="T11" s="457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119219652.45523365</v>
      </c>
      <c r="D12" s="113">
        <f>SUM(D3:D11)</f>
        <v>96952530.753035799</v>
      </c>
      <c r="E12" s="114">
        <f t="shared" si="3"/>
        <v>0.81322608107284122</v>
      </c>
      <c r="F12" s="113">
        <f>SUM(F3:F11)</f>
        <v>176349652.45523363</v>
      </c>
      <c r="G12" s="113"/>
      <c r="H12" s="113"/>
      <c r="J12" s="113">
        <f>SUM(J3:J11)</f>
        <v>176349652.45523363</v>
      </c>
      <c r="K12" s="115">
        <f>SUM(K3:K11)</f>
        <v>0</v>
      </c>
      <c r="M12" s="74" t="s">
        <v>127</v>
      </c>
      <c r="N12" s="74">
        <v>11</v>
      </c>
      <c r="P12" s="125">
        <v>13450000</v>
      </c>
      <c r="Q12" s="125">
        <v>12900000</v>
      </c>
      <c r="R12" s="353">
        <v>12900000</v>
      </c>
      <c r="S12" s="125">
        <v>12820000</v>
      </c>
      <c r="T12" s="127">
        <f>SUM(P12:S12)</f>
        <v>52070000</v>
      </c>
      <c r="U12" s="14" t="s">
        <v>128</v>
      </c>
    </row>
    <row r="13" spans="1:21" x14ac:dyDescent="0.2">
      <c r="F13" s="113"/>
      <c r="H13" s="113"/>
      <c r="M13" s="74" t="s">
        <v>129</v>
      </c>
      <c r="N13" s="74">
        <v>12</v>
      </c>
      <c r="P13" s="128"/>
      <c r="Q13" s="126">
        <v>7910000</v>
      </c>
      <c r="R13" s="159">
        <v>7850000</v>
      </c>
      <c r="S13" s="159">
        <v>7810000</v>
      </c>
      <c r="T13" s="127">
        <f>SUM(P13:S13)</f>
        <v>23570000</v>
      </c>
      <c r="U13" s="176" t="s">
        <v>293</v>
      </c>
    </row>
    <row r="14" spans="1:21" x14ac:dyDescent="0.2">
      <c r="F14" s="113" t="s">
        <v>130</v>
      </c>
      <c r="M14" s="74" t="s">
        <v>12</v>
      </c>
      <c r="N14" s="74">
        <f>SUM(N2:N13)</f>
        <v>78</v>
      </c>
      <c r="P14" s="128"/>
      <c r="Q14" s="22"/>
      <c r="R14" s="22">
        <v>4708000</v>
      </c>
      <c r="S14" s="22">
        <v>3920000</v>
      </c>
      <c r="T14" s="127">
        <f>SUM(P14:S14)</f>
        <v>8628000</v>
      </c>
    </row>
    <row r="15" spans="1:21" x14ac:dyDescent="0.2">
      <c r="F15" s="113"/>
      <c r="P15" s="128"/>
      <c r="Q15" s="22"/>
      <c r="R15" s="22"/>
      <c r="S15" s="22">
        <v>16230000</v>
      </c>
      <c r="T15" s="127">
        <f>SUM(P15:S15)</f>
        <v>16230000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23421.741792205998</v>
      </c>
      <c r="J16" s="115"/>
      <c r="P16" s="129">
        <f>SUM(P12:P15)</f>
        <v>13450000</v>
      </c>
      <c r="Q16" s="130">
        <f>SUM(Q12:Q15)</f>
        <v>20810000</v>
      </c>
      <c r="R16" s="130">
        <f>SUM(R12:R15)</f>
        <v>25458000</v>
      </c>
      <c r="S16" s="130">
        <f>SUM(S12:S15)</f>
        <v>40780000</v>
      </c>
      <c r="T16" s="131">
        <f>SUM(P16:S16)</f>
        <v>100498000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46843.483584411995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70265.225376617993</v>
      </c>
      <c r="T18" s="354"/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93686.967168823991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117108.70896102999</v>
      </c>
      <c r="V20" s="18"/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140530.45075323599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163952.19254544197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187373.93433764798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210795.67612985399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234217.41792206001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257639.15971426602</v>
      </c>
      <c r="G26" s="4" t="s">
        <v>23</v>
      </c>
      <c r="BF26" t="s">
        <v>131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281060.90150647203</v>
      </c>
      <c r="G27" s="113">
        <f>SUM(F16:F27)</f>
        <v>1826895.8597920677</v>
      </c>
      <c r="H27" s="113">
        <f>F27*12</f>
        <v>3372730.8180776644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301054.57794119004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321048.25437590806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341041.93081062607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361035.60724534409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381029.2836800621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401022.96011478011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421016.63654949813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441010.31298421614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461003.98941893416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480997.66585365217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500991.34228837019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520985.0187230882</v>
      </c>
      <c r="G39" s="113">
        <f>SUM(F28:F39)</f>
        <v>4932237.5799856689</v>
      </c>
      <c r="H39" s="113">
        <f>F39*12</f>
        <v>6251820.2246770579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533133.78983730474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545282.56095152127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557431.33206573781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569580.10317995434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581728.87429417088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593877.64540838741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606026.41652260395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618175.18763682048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630323.95875103702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642472.72986525355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654621.50097947009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666770.27209368662</v>
      </c>
      <c r="G51" s="113">
        <f>SUM(F40:F51)</f>
        <v>7199424.3715859475</v>
      </c>
      <c r="H51" s="113">
        <f>F51*12</f>
        <v>8001243.265124239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709773.03017770033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752775.78826171404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795778.54634572775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838781.30442974146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881784.06251375517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924786.82059776888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967789.57868178259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1010792.3367657963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1053795.09484981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1096797.8529338236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1139800.6110178372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1182803.3691018508</v>
      </c>
      <c r="G63" s="113">
        <f>SUM(F52:F63)</f>
        <v>11355458.395677308</v>
      </c>
      <c r="H63" s="113">
        <f>F63*12</f>
        <v>14193640.429222209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1207627.1711869936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1232450.9732721364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1257274.7753572792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1282098.577442422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1306922.3795275649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1331746.1816127077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1356569.9836978505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1381393.7857829933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1406217.5878681361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1431041.3899532789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1455865.1920384218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1480688.9941235646</v>
      </c>
      <c r="G75" s="113">
        <f>SUM(F64:F75)</f>
        <v>16129896.991863348</v>
      </c>
      <c r="H75" s="113">
        <f>F75*12</f>
        <v>17768267.929482773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1592898.8024259633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1705108.6107283621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1817318.4190307609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1929528.2273331597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2041738.0356355584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2153947.8439379572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2266157.652240356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2378367.4605427547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2490577.2688451535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2602787.0771475523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2714996.885449951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2827206.6937523498</v>
      </c>
      <c r="G87" s="113">
        <f>SUM(F76:F87)</f>
        <v>26520632.977069877</v>
      </c>
      <c r="H87" s="113">
        <f>F87*12</f>
        <v>33926480.325028196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2858409.1551103732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2889611.6164683965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2920814.0778264198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2952016.5391844432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2983219.0005424665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3014421.4619004899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3045623.9232585132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3076826.3846165366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3108028.8459745599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3139231.3073325832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3170433.7686906066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3201636.2300486299</v>
      </c>
      <c r="G99" s="113">
        <f>SUM(F88:F99)</f>
        <v>36360272.310954019</v>
      </c>
      <c r="H99" s="113">
        <f>F99*12</f>
        <v>38419634.760583557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3174072.3208114323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3146508.4115742347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3118944.5023370371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3091380.5930998395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3063816.6838626419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3036252.7746254443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3008688.8653882467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2981124.9561510491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2953561.0469138515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2925997.1376766539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2898433.2284394563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2870869.3192022587</v>
      </c>
      <c r="G111" s="113">
        <f>SUM(F100:F111)</f>
        <v>36269649.840082146</v>
      </c>
      <c r="H111" s="113">
        <f>F111*12</f>
        <v>34450431.830427103</v>
      </c>
    </row>
    <row r="112" spans="1:8" x14ac:dyDescent="0.2">
      <c r="A112" s="3">
        <v>41640</v>
      </c>
      <c r="F112" s="115">
        <f>F111+$H$11</f>
        <v>2887596.9127637479</v>
      </c>
    </row>
    <row r="113" spans="1:8" x14ac:dyDescent="0.2">
      <c r="A113" s="3">
        <v>41671</v>
      </c>
      <c r="F113" s="115">
        <f t="shared" ref="F113:F123" si="13">F112+$H$11</f>
        <v>2904324.506325237</v>
      </c>
    </row>
    <row r="114" spans="1:8" x14ac:dyDescent="0.2">
      <c r="A114" s="3">
        <v>41699</v>
      </c>
      <c r="F114" s="115">
        <f t="shared" si="13"/>
        <v>2921052.0998867261</v>
      </c>
    </row>
    <row r="115" spans="1:8" x14ac:dyDescent="0.2">
      <c r="A115" s="3">
        <v>41730</v>
      </c>
      <c r="F115" s="115">
        <f t="shared" si="13"/>
        <v>2937779.6934482153</v>
      </c>
    </row>
    <row r="116" spans="1:8" x14ac:dyDescent="0.2">
      <c r="A116" s="3">
        <v>41760</v>
      </c>
      <c r="F116" s="115">
        <f t="shared" si="13"/>
        <v>2954507.2870097044</v>
      </c>
    </row>
    <row r="117" spans="1:8" x14ac:dyDescent="0.2">
      <c r="A117" s="3">
        <v>41791</v>
      </c>
      <c r="F117" s="115">
        <f t="shared" si="13"/>
        <v>2971234.8805711935</v>
      </c>
    </row>
    <row r="118" spans="1:8" x14ac:dyDescent="0.2">
      <c r="A118" s="3">
        <v>41821</v>
      </c>
      <c r="F118" s="115">
        <f t="shared" si="13"/>
        <v>2987962.4741326827</v>
      </c>
    </row>
    <row r="119" spans="1:8" x14ac:dyDescent="0.2">
      <c r="A119" s="3">
        <v>41852</v>
      </c>
      <c r="F119" s="115">
        <f t="shared" si="13"/>
        <v>3004690.0676941718</v>
      </c>
    </row>
    <row r="120" spans="1:8" x14ac:dyDescent="0.2">
      <c r="A120" s="3">
        <v>41883</v>
      </c>
      <c r="F120" s="115">
        <f t="shared" si="13"/>
        <v>3021417.6612556609</v>
      </c>
    </row>
    <row r="121" spans="1:8" x14ac:dyDescent="0.2">
      <c r="A121" s="3">
        <v>41913</v>
      </c>
      <c r="F121" s="115">
        <f t="shared" si="13"/>
        <v>3038145.2548171501</v>
      </c>
    </row>
    <row r="122" spans="1:8" x14ac:dyDescent="0.2">
      <c r="A122" s="3">
        <v>41944</v>
      </c>
      <c r="F122" s="115">
        <f t="shared" si="13"/>
        <v>3054872.8483786392</v>
      </c>
    </row>
    <row r="123" spans="1:8" x14ac:dyDescent="0.2">
      <c r="A123" s="3">
        <v>41974</v>
      </c>
      <c r="F123" s="115">
        <f t="shared" si="13"/>
        <v>3071600.4419401283</v>
      </c>
      <c r="G123" s="113">
        <f>SUM(F112:F123)</f>
        <v>35755184.128223255</v>
      </c>
      <c r="H123" s="113">
        <f>F123*12</f>
        <v>36859205.303281538</v>
      </c>
    </row>
    <row r="124" spans="1:8" x14ac:dyDescent="0.2">
      <c r="A124" s="3"/>
      <c r="F124" s="115">
        <f>SUM(F16:F123)</f>
        <v>176349652.4552336</v>
      </c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v>727.1</v>
      </c>
      <c r="C231" s="110">
        <v>0</v>
      </c>
    </row>
    <row r="232" spans="1:5" x14ac:dyDescent="0.2">
      <c r="A232" s="54">
        <f t="shared" si="3"/>
        <v>40237</v>
      </c>
      <c r="B232" s="110">
        <v>644.70000000000005</v>
      </c>
      <c r="C232" s="110">
        <v>0</v>
      </c>
    </row>
    <row r="233" spans="1:5" x14ac:dyDescent="0.2">
      <c r="A233" s="54">
        <f t="shared" si="3"/>
        <v>40268</v>
      </c>
      <c r="B233" s="110">
        <v>470.9</v>
      </c>
      <c r="C233" s="110">
        <v>0</v>
      </c>
    </row>
    <row r="234" spans="1:5" x14ac:dyDescent="0.2">
      <c r="A234" s="54">
        <f t="shared" si="3"/>
        <v>40298</v>
      </c>
      <c r="B234" s="110">
        <v>255.7</v>
      </c>
      <c r="C234" s="110">
        <v>0</v>
      </c>
    </row>
    <row r="235" spans="1:5" x14ac:dyDescent="0.2">
      <c r="A235" s="54">
        <f t="shared" si="3"/>
        <v>40329</v>
      </c>
      <c r="B235" s="110">
        <v>144.69999999999999</v>
      </c>
      <c r="C235" s="110">
        <v>21</v>
      </c>
    </row>
    <row r="236" spans="1:5" x14ac:dyDescent="0.2">
      <c r="A236" s="54">
        <f t="shared" si="3"/>
        <v>40359</v>
      </c>
      <c r="B236" s="110">
        <v>37.700000000000003</v>
      </c>
      <c r="C236" s="110">
        <v>26.8</v>
      </c>
    </row>
    <row r="237" spans="1:5" x14ac:dyDescent="0.2">
      <c r="A237" s="54">
        <f t="shared" si="3"/>
        <v>40390</v>
      </c>
      <c r="B237" s="110">
        <v>6.7</v>
      </c>
      <c r="C237" s="110">
        <v>100.6</v>
      </c>
    </row>
    <row r="238" spans="1:5" x14ac:dyDescent="0.2">
      <c r="A238" s="54">
        <f t="shared" si="3"/>
        <v>40421</v>
      </c>
      <c r="B238" s="110">
        <v>9.6999999999999993</v>
      </c>
      <c r="C238" s="110">
        <v>79.2</v>
      </c>
    </row>
    <row r="239" spans="1:5" x14ac:dyDescent="0.2">
      <c r="A239" s="54">
        <f t="shared" si="3"/>
        <v>40451</v>
      </c>
      <c r="B239" s="110">
        <v>122.7</v>
      </c>
      <c r="C239" s="110">
        <v>16.7</v>
      </c>
    </row>
    <row r="240" spans="1:5" x14ac:dyDescent="0.2">
      <c r="A240" s="54">
        <f t="shared" si="3"/>
        <v>40482</v>
      </c>
      <c r="B240" s="110">
        <v>279.60000000000002</v>
      </c>
      <c r="C240" s="110">
        <v>0</v>
      </c>
    </row>
    <row r="241" spans="1:5" x14ac:dyDescent="0.2">
      <c r="A241" s="54">
        <f t="shared" si="3"/>
        <v>40512</v>
      </c>
      <c r="B241" s="110">
        <v>337.9</v>
      </c>
      <c r="C241" s="110">
        <v>0</v>
      </c>
    </row>
    <row r="242" spans="1:5" x14ac:dyDescent="0.2">
      <c r="A242" s="54">
        <f t="shared" si="3"/>
        <v>40543</v>
      </c>
      <c r="B242" s="110">
        <v>719.4</v>
      </c>
      <c r="C242" s="110">
        <v>0</v>
      </c>
      <c r="D242">
        <f>SUM(B231:B242)</f>
        <v>3756.7999999999993</v>
      </c>
      <c r="E242">
        <f>SUM(C231:C242)</f>
        <v>244.29999999999995</v>
      </c>
    </row>
    <row r="243" spans="1:5" x14ac:dyDescent="0.2">
      <c r="A243" s="54">
        <f t="shared" si="3"/>
        <v>40574</v>
      </c>
      <c r="B243" s="110">
        <v>770</v>
      </c>
      <c r="C243" s="110">
        <v>0</v>
      </c>
    </row>
    <row r="244" spans="1:5" x14ac:dyDescent="0.2">
      <c r="A244" s="54">
        <f t="shared" si="3"/>
        <v>40602</v>
      </c>
      <c r="B244" s="110">
        <v>640.79999999999995</v>
      </c>
      <c r="C244" s="110">
        <v>0</v>
      </c>
    </row>
    <row r="245" spans="1:5" x14ac:dyDescent="0.2">
      <c r="A245" s="54">
        <f t="shared" si="3"/>
        <v>40633</v>
      </c>
      <c r="B245" s="110">
        <v>605.29999999999995</v>
      </c>
      <c r="C245" s="110">
        <v>0</v>
      </c>
    </row>
    <row r="246" spans="1:5" x14ac:dyDescent="0.2">
      <c r="A246" s="54">
        <f t="shared" si="3"/>
        <v>40663</v>
      </c>
      <c r="B246" s="110">
        <v>298.7</v>
      </c>
      <c r="C246" s="110">
        <v>0</v>
      </c>
    </row>
    <row r="247" spans="1:5" x14ac:dyDescent="0.2">
      <c r="A247" s="54">
        <f t="shared" si="3"/>
        <v>40694</v>
      </c>
      <c r="B247" s="110">
        <v>148.69999999999999</v>
      </c>
      <c r="C247" s="110">
        <v>13.2</v>
      </c>
    </row>
    <row r="248" spans="1:5" x14ac:dyDescent="0.2">
      <c r="A248" s="54">
        <f t="shared" si="3"/>
        <v>40724</v>
      </c>
      <c r="B248" s="110">
        <v>48.5</v>
      </c>
      <c r="C248" s="110">
        <v>21.6</v>
      </c>
    </row>
    <row r="249" spans="1:5" x14ac:dyDescent="0.2">
      <c r="A249" s="54">
        <f t="shared" si="3"/>
        <v>40755</v>
      </c>
      <c r="B249" s="110">
        <v>0.8</v>
      </c>
      <c r="C249" s="110">
        <v>128.19999999999999</v>
      </c>
    </row>
    <row r="250" spans="1:5" x14ac:dyDescent="0.2">
      <c r="A250" s="54">
        <f t="shared" si="3"/>
        <v>40786</v>
      </c>
      <c r="B250" s="110">
        <v>6.9</v>
      </c>
      <c r="C250" s="110">
        <v>54.3</v>
      </c>
    </row>
    <row r="251" spans="1:5" x14ac:dyDescent="0.2">
      <c r="A251" s="54">
        <f t="shared" si="3"/>
        <v>40816</v>
      </c>
      <c r="B251" s="110">
        <v>88.9</v>
      </c>
      <c r="C251" s="110">
        <v>17.2</v>
      </c>
    </row>
    <row r="252" spans="1:5" x14ac:dyDescent="0.2">
      <c r="A252" s="54">
        <f t="shared" si="3"/>
        <v>40847</v>
      </c>
      <c r="B252" s="110">
        <v>279.89999999999998</v>
      </c>
      <c r="C252" s="110">
        <v>0</v>
      </c>
    </row>
    <row r="253" spans="1:5" x14ac:dyDescent="0.2">
      <c r="A253" s="54">
        <f t="shared" si="3"/>
        <v>40877</v>
      </c>
      <c r="B253" s="110">
        <v>382.4</v>
      </c>
      <c r="C253" s="110">
        <v>0</v>
      </c>
    </row>
    <row r="254" spans="1:5" x14ac:dyDescent="0.2">
      <c r="A254" s="54">
        <f t="shared" si="3"/>
        <v>40908</v>
      </c>
      <c r="B254" s="110">
        <v>574.79999999999995</v>
      </c>
      <c r="C254" s="110">
        <v>0</v>
      </c>
      <c r="D254">
        <f>SUM(B243:B254)</f>
        <v>3845.7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v>657.3</v>
      </c>
      <c r="C255" s="110">
        <v>0</v>
      </c>
    </row>
    <row r="256" spans="1:5" x14ac:dyDescent="0.2">
      <c r="A256" s="54">
        <f t="shared" si="3"/>
        <v>40968</v>
      </c>
      <c r="B256" s="110">
        <v>573</v>
      </c>
      <c r="C256" s="110">
        <v>0</v>
      </c>
    </row>
    <row r="257" spans="1:5" x14ac:dyDescent="0.2">
      <c r="A257" s="54">
        <f t="shared" si="3"/>
        <v>40999</v>
      </c>
      <c r="B257" s="110">
        <v>370.1</v>
      </c>
      <c r="C257" s="110">
        <v>0</v>
      </c>
    </row>
    <row r="258" spans="1:5" x14ac:dyDescent="0.2">
      <c r="A258" s="54">
        <f t="shared" si="3"/>
        <v>41029</v>
      </c>
      <c r="B258" s="110">
        <v>365.3</v>
      </c>
      <c r="C258" s="110">
        <v>0</v>
      </c>
    </row>
    <row r="259" spans="1:5" x14ac:dyDescent="0.2">
      <c r="A259" s="54">
        <f t="shared" si="3"/>
        <v>41060</v>
      </c>
      <c r="B259" s="110">
        <v>103.8</v>
      </c>
      <c r="C259" s="110">
        <v>18.2</v>
      </c>
    </row>
    <row r="260" spans="1:5" x14ac:dyDescent="0.2">
      <c r="A260" s="54">
        <f t="shared" ref="A260:A266" si="4">EOMONTH(A259,1)</f>
        <v>41090</v>
      </c>
      <c r="B260" s="110">
        <v>42.1</v>
      </c>
      <c r="C260" s="110">
        <v>61.2</v>
      </c>
    </row>
    <row r="261" spans="1:5" x14ac:dyDescent="0.2">
      <c r="A261" s="54">
        <f t="shared" si="4"/>
        <v>41121</v>
      </c>
      <c r="B261" s="110">
        <v>0</v>
      </c>
      <c r="C261" s="110">
        <v>116.4</v>
      </c>
    </row>
    <row r="262" spans="1:5" x14ac:dyDescent="0.2">
      <c r="A262" s="54">
        <f t="shared" si="4"/>
        <v>41152</v>
      </c>
      <c r="B262" s="110">
        <v>19.399999999999999</v>
      </c>
      <c r="C262" s="110">
        <v>58.1</v>
      </c>
    </row>
    <row r="263" spans="1:5" x14ac:dyDescent="0.2">
      <c r="A263" s="54">
        <f t="shared" si="4"/>
        <v>41182</v>
      </c>
      <c r="B263" s="110">
        <v>125.4</v>
      </c>
      <c r="C263" s="110">
        <v>16.399999999999999</v>
      </c>
    </row>
    <row r="264" spans="1:5" x14ac:dyDescent="0.2">
      <c r="A264" s="54">
        <f t="shared" si="4"/>
        <v>41213</v>
      </c>
      <c r="B264" s="110">
        <v>279.2</v>
      </c>
      <c r="C264" s="110">
        <v>0</v>
      </c>
    </row>
    <row r="265" spans="1:5" x14ac:dyDescent="0.2">
      <c r="A265" s="54">
        <f t="shared" si="4"/>
        <v>41243</v>
      </c>
      <c r="B265" s="110">
        <v>483.6</v>
      </c>
      <c r="C265" s="110">
        <v>0</v>
      </c>
    </row>
    <row r="266" spans="1:5" x14ac:dyDescent="0.2">
      <c r="A266" s="54">
        <f t="shared" si="4"/>
        <v>41274</v>
      </c>
      <c r="B266" s="110">
        <v>565.5</v>
      </c>
      <c r="C266" s="110"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1" customWidth="1"/>
    <col min="6" max="6" width="9.5703125" style="311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09" t="s">
        <v>239</v>
      </c>
      <c r="D1" s="458"/>
      <c r="E1" s="458"/>
      <c r="F1" s="309"/>
      <c r="G1" s="309"/>
      <c r="H1" s="309"/>
      <c r="I1" s="309"/>
    </row>
    <row r="2" spans="1:25" x14ac:dyDescent="0.2">
      <c r="A2" s="310"/>
    </row>
    <row r="3" spans="1:25" x14ac:dyDescent="0.2">
      <c r="A3" s="312" t="s">
        <v>240</v>
      </c>
      <c r="B3" s="312"/>
      <c r="C3" s="312"/>
      <c r="D3" s="312"/>
      <c r="E3" s="313"/>
      <c r="F3" s="313"/>
    </row>
    <row r="4" spans="1:25" x14ac:dyDescent="0.2">
      <c r="A4" s="314"/>
      <c r="B4" s="314"/>
      <c r="C4" s="314"/>
      <c r="D4" s="314"/>
      <c r="E4" s="315"/>
      <c r="F4" s="315"/>
    </row>
    <row r="5" spans="1:25" x14ac:dyDescent="0.2">
      <c r="A5" s="316" t="s">
        <v>241</v>
      </c>
      <c r="B5" s="316">
        <v>1993</v>
      </c>
      <c r="C5" s="316">
        <v>1994</v>
      </c>
      <c r="D5" s="316">
        <v>1995</v>
      </c>
      <c r="E5" s="316">
        <v>1996</v>
      </c>
      <c r="F5" s="316">
        <v>1997</v>
      </c>
      <c r="G5" s="316">
        <v>1998</v>
      </c>
      <c r="H5" s="316">
        <v>1999</v>
      </c>
      <c r="I5" s="316">
        <v>2000</v>
      </c>
      <c r="J5" s="316">
        <f t="shared" ref="J5:P5" si="0">J25</f>
        <v>2001</v>
      </c>
      <c r="K5" s="316">
        <f t="shared" si="0"/>
        <v>2002</v>
      </c>
      <c r="L5" s="316">
        <f t="shared" si="0"/>
        <v>2003</v>
      </c>
      <c r="M5" s="316">
        <f t="shared" si="0"/>
        <v>2004</v>
      </c>
      <c r="N5" s="316">
        <f t="shared" si="0"/>
        <v>2005</v>
      </c>
      <c r="O5" s="316">
        <f t="shared" si="0"/>
        <v>2006</v>
      </c>
      <c r="P5" s="316">
        <f t="shared" si="0"/>
        <v>2007</v>
      </c>
      <c r="Q5" s="316">
        <v>2008</v>
      </c>
      <c r="R5" s="316">
        <v>2009</v>
      </c>
      <c r="S5" s="316">
        <v>2010</v>
      </c>
      <c r="T5" s="316">
        <v>2011</v>
      </c>
      <c r="U5" s="316">
        <f t="shared" ref="U5" si="1">U25</f>
        <v>2012</v>
      </c>
      <c r="V5" s="317" t="s">
        <v>242</v>
      </c>
      <c r="W5" s="317" t="s">
        <v>243</v>
      </c>
      <c r="X5" s="317" t="s">
        <v>257</v>
      </c>
      <c r="Y5" s="317" t="s">
        <v>258</v>
      </c>
    </row>
    <row r="6" spans="1:25" x14ac:dyDescent="0.2">
      <c r="A6" s="314"/>
      <c r="B6" s="314"/>
      <c r="C6" s="314"/>
      <c r="D6" s="314"/>
      <c r="E6" s="313"/>
      <c r="F6" s="313"/>
    </row>
    <row r="7" spans="1:25" x14ac:dyDescent="0.2">
      <c r="A7" s="318"/>
      <c r="B7" s="318"/>
      <c r="C7" s="318"/>
      <c r="D7" s="318"/>
      <c r="E7" s="313"/>
      <c r="F7" s="313"/>
      <c r="G7" s="313"/>
      <c r="H7" s="313"/>
    </row>
    <row r="8" spans="1:25" x14ac:dyDescent="0.2">
      <c r="A8" s="318" t="s">
        <v>244</v>
      </c>
      <c r="B8" s="319">
        <f>'HDD and CDD'!B27</f>
        <v>687.2</v>
      </c>
      <c r="C8" s="319">
        <f>'HDD and CDD'!B39</f>
        <v>968.6</v>
      </c>
      <c r="D8" s="319">
        <f>'HDD and CDD'!B51</f>
        <v>667.5</v>
      </c>
      <c r="E8" s="319">
        <f>'HDD and CDD'!B63</f>
        <v>789.4</v>
      </c>
      <c r="F8" s="319">
        <f>'HDD and CDD'!B75</f>
        <v>777.9</v>
      </c>
      <c r="G8" s="319">
        <f>'HDD and CDD'!B87</f>
        <v>652.79999999999995</v>
      </c>
      <c r="H8" s="319">
        <f>'HDD and CDD'!B99</f>
        <v>789.6</v>
      </c>
      <c r="I8" s="319">
        <f>'HDD and CDD'!B111</f>
        <v>773</v>
      </c>
      <c r="J8" s="319">
        <f>'HDD and CDD'!B123</f>
        <v>715</v>
      </c>
      <c r="K8" s="319">
        <f>'HDD and CDD'!B135</f>
        <v>625.70000000000005</v>
      </c>
      <c r="L8" s="319">
        <f>'HDD and CDD'!B147</f>
        <v>868.4</v>
      </c>
      <c r="M8" s="319">
        <f>'HDD and CDD'!B159</f>
        <v>879.2</v>
      </c>
      <c r="N8" s="319">
        <f>'HDD and CDD'!B171</f>
        <v>814.7</v>
      </c>
      <c r="O8" s="319">
        <f>'HDD and CDD'!B183</f>
        <v>590.6</v>
      </c>
      <c r="P8" s="319">
        <f>'HDD and CDD'!B195</f>
        <v>698.3</v>
      </c>
      <c r="Q8" s="319">
        <f>'HDD and CDD'!B207</f>
        <v>676.8</v>
      </c>
      <c r="R8" s="319">
        <f>'HDD and CDD'!B219</f>
        <v>891.8</v>
      </c>
      <c r="S8" s="319">
        <f>'HDD and CDD'!B231</f>
        <v>727.1</v>
      </c>
      <c r="T8" s="319">
        <f>'HDD and CDD'!B243</f>
        <v>770</v>
      </c>
      <c r="U8" s="319">
        <f>'HDD and CDD'!B255</f>
        <v>657.3</v>
      </c>
      <c r="V8" s="320">
        <f>AVERAGE(L8:U8)</f>
        <v>757.42000000000007</v>
      </c>
      <c r="W8" s="321">
        <f>TREND(B8:U8,$B$25:$U$25,2014)</f>
        <v>726.22142857142808</v>
      </c>
      <c r="X8" s="320">
        <f>AVERAGE(B8:U8)</f>
        <v>751.04499999999996</v>
      </c>
      <c r="Y8" s="321">
        <f>AVERAGE(E8:U8)</f>
        <v>746.91764705882338</v>
      </c>
    </row>
    <row r="9" spans="1:25" x14ac:dyDescent="0.2">
      <c r="A9" s="318" t="s">
        <v>245</v>
      </c>
      <c r="B9" s="319">
        <f>'HDD and CDD'!B28</f>
        <v>738.1</v>
      </c>
      <c r="C9" s="319">
        <f>'HDD and CDD'!B40</f>
        <v>774.2</v>
      </c>
      <c r="D9" s="319">
        <f>'HDD and CDD'!B52</f>
        <v>735.3</v>
      </c>
      <c r="E9" s="319">
        <f>'HDD and CDD'!B64</f>
        <v>712.6</v>
      </c>
      <c r="F9" s="319">
        <f>'HDD and CDD'!B76</f>
        <v>615</v>
      </c>
      <c r="G9" s="319">
        <f>'HDD and CDD'!B88</f>
        <v>547.1</v>
      </c>
      <c r="H9" s="319">
        <f>'HDD and CDD'!B100</f>
        <v>578.4</v>
      </c>
      <c r="I9" s="319">
        <f>'HDD and CDD'!B112</f>
        <v>643.79999999999995</v>
      </c>
      <c r="J9" s="319">
        <f>'HDD and CDD'!B124</f>
        <v>620.20000000000005</v>
      </c>
      <c r="K9" s="319">
        <f>'HDD and CDD'!B136</f>
        <v>592</v>
      </c>
      <c r="L9" s="319">
        <f>'HDD and CDD'!B148</f>
        <v>755.9</v>
      </c>
      <c r="M9" s="319">
        <f>'HDD and CDD'!B160</f>
        <v>699.2</v>
      </c>
      <c r="N9" s="319">
        <f>'HDD and CDD'!B172</f>
        <v>683.5</v>
      </c>
      <c r="O9" s="319">
        <f>'HDD and CDD'!B184</f>
        <v>651.20000000000005</v>
      </c>
      <c r="P9" s="319">
        <f>'HDD and CDD'!B196</f>
        <v>785.1</v>
      </c>
      <c r="Q9" s="319">
        <f>'HDD and CDD'!B208</f>
        <v>651.20000000000005</v>
      </c>
      <c r="R9" s="319">
        <f>'HDD and CDD'!B220</f>
        <v>649.6</v>
      </c>
      <c r="S9" s="319">
        <f>'HDD and CDD'!B232</f>
        <v>644.70000000000005</v>
      </c>
      <c r="T9" s="319">
        <f>'HDD and CDD'!B244</f>
        <v>640.79999999999995</v>
      </c>
      <c r="U9" s="319">
        <f>'HDD and CDD'!B256</f>
        <v>573</v>
      </c>
      <c r="V9" s="320">
        <f t="shared" ref="V9:V19" si="2">AVERAGE(L9:U9)</f>
        <v>673.42000000000007</v>
      </c>
      <c r="W9" s="321">
        <f t="shared" ref="W9:W19" si="3">TREND(B9:U9,$B$25:$U$25,2014)</f>
        <v>630.53353383458671</v>
      </c>
      <c r="X9" s="320">
        <f t="shared" ref="X9:X19" si="4">AVERAGE(B9:U9)</f>
        <v>664.54500000000007</v>
      </c>
      <c r="Y9" s="321">
        <f t="shared" ref="Y9:Y19" si="5">AVERAGE(E9:U9)</f>
        <v>649.60588235294108</v>
      </c>
    </row>
    <row r="10" spans="1:25" x14ac:dyDescent="0.2">
      <c r="A10" s="318" t="s">
        <v>246</v>
      </c>
      <c r="B10" s="319">
        <f>'HDD and CDD'!B29</f>
        <v>632</v>
      </c>
      <c r="C10" s="319">
        <f>'HDD and CDD'!B41</f>
        <v>619.9</v>
      </c>
      <c r="D10" s="319">
        <f>'HDD and CDD'!B53</f>
        <v>523.70000000000005</v>
      </c>
      <c r="E10" s="319">
        <f>'HDD and CDD'!B65</f>
        <v>670.4</v>
      </c>
      <c r="F10" s="319">
        <f>'HDD and CDD'!B77</f>
        <v>619.1</v>
      </c>
      <c r="G10" s="319">
        <f>'HDD and CDD'!B89</f>
        <v>505.1</v>
      </c>
      <c r="H10" s="319">
        <f>'HDD and CDD'!B101</f>
        <v>592.5</v>
      </c>
      <c r="I10" s="319">
        <f>'HDD and CDD'!B113</f>
        <v>446.9</v>
      </c>
      <c r="J10" s="319">
        <f>'HDD and CDD'!B125</f>
        <v>618.70000000000005</v>
      </c>
      <c r="K10" s="319">
        <f>'HDD and CDD'!B137</f>
        <v>581.20000000000005</v>
      </c>
      <c r="L10" s="319">
        <f>'HDD and CDD'!B149</f>
        <v>638.70000000000005</v>
      </c>
      <c r="M10" s="319">
        <f>'HDD and CDD'!B161</f>
        <v>540.9</v>
      </c>
      <c r="N10" s="319">
        <f>'HDD and CDD'!B173</f>
        <v>680.5</v>
      </c>
      <c r="O10" s="319">
        <f>'HDD and CDD'!B185</f>
        <v>562.4</v>
      </c>
      <c r="P10" s="319">
        <f>'HDD and CDD'!B197</f>
        <v>582</v>
      </c>
      <c r="Q10" s="319">
        <f>'HDD and CDD'!B209</f>
        <v>686.1</v>
      </c>
      <c r="R10" s="319">
        <f>'HDD and CDD'!B221</f>
        <v>562.6</v>
      </c>
      <c r="S10" s="319">
        <f>'HDD and CDD'!B233</f>
        <v>470.9</v>
      </c>
      <c r="T10" s="319">
        <f>'HDD and CDD'!B245</f>
        <v>605.29999999999995</v>
      </c>
      <c r="U10" s="319">
        <f>'HDD and CDD'!B257</f>
        <v>370.1</v>
      </c>
      <c r="V10" s="320">
        <f t="shared" si="2"/>
        <v>569.95000000000005</v>
      </c>
      <c r="W10" s="321">
        <f t="shared" si="3"/>
        <v>530.42533834586538</v>
      </c>
      <c r="X10" s="320">
        <f t="shared" si="4"/>
        <v>575.44999999999993</v>
      </c>
      <c r="Y10" s="321">
        <f t="shared" si="5"/>
        <v>572.55294117647043</v>
      </c>
    </row>
    <row r="11" spans="1:25" x14ac:dyDescent="0.2">
      <c r="A11" s="318" t="s">
        <v>247</v>
      </c>
      <c r="B11" s="319">
        <f>'HDD and CDD'!B30</f>
        <v>343.4</v>
      </c>
      <c r="C11" s="319">
        <f>'HDD and CDD'!B42</f>
        <v>343.8</v>
      </c>
      <c r="D11" s="319">
        <f>'HDD and CDD'!B54</f>
        <v>434.4</v>
      </c>
      <c r="E11" s="319">
        <f>'HDD and CDD'!B66</f>
        <v>421.9</v>
      </c>
      <c r="F11" s="319">
        <f>'HDD and CDD'!B78</f>
        <v>391.9</v>
      </c>
      <c r="G11" s="319">
        <f>'HDD and CDD'!B90</f>
        <v>312</v>
      </c>
      <c r="H11" s="319">
        <f>'HDD and CDD'!B102</f>
        <v>332.6</v>
      </c>
      <c r="I11" s="319">
        <f>'HDD and CDD'!B114</f>
        <v>358.3</v>
      </c>
      <c r="J11" s="319">
        <f>'HDD and CDD'!B126</f>
        <v>324.60000000000002</v>
      </c>
      <c r="K11" s="319">
        <f>'HDD and CDD'!B138</f>
        <v>356.2</v>
      </c>
      <c r="L11" s="319">
        <f>'HDD and CDD'!B150</f>
        <v>397.4</v>
      </c>
      <c r="M11" s="319">
        <f>'HDD and CDD'!B162</f>
        <v>354.1</v>
      </c>
      <c r="N11" s="319">
        <f>'HDD and CDD'!B174</f>
        <v>354.6</v>
      </c>
      <c r="O11" s="319">
        <f>'HDD and CDD'!B186</f>
        <v>322.5</v>
      </c>
      <c r="P11" s="319">
        <f>'HDD and CDD'!B198</f>
        <v>403</v>
      </c>
      <c r="Q11" s="319">
        <f>'HDD and CDD'!B210</f>
        <v>297.89999999999998</v>
      </c>
      <c r="R11" s="319">
        <f>'HDD and CDD'!B222</f>
        <v>341.5</v>
      </c>
      <c r="S11" s="319">
        <f>'HDD and CDD'!B234</f>
        <v>255.7</v>
      </c>
      <c r="T11" s="319">
        <f>'HDD and CDD'!B246</f>
        <v>298.7</v>
      </c>
      <c r="U11" s="319">
        <f>'HDD and CDD'!B258</f>
        <v>365.3</v>
      </c>
      <c r="V11" s="320">
        <f t="shared" si="2"/>
        <v>339.07</v>
      </c>
      <c r="W11" s="321">
        <f t="shared" si="3"/>
        <v>313.73496240601435</v>
      </c>
      <c r="X11" s="320">
        <f t="shared" si="4"/>
        <v>350.49</v>
      </c>
      <c r="Y11" s="321">
        <f t="shared" si="5"/>
        <v>346.36470588235295</v>
      </c>
    </row>
    <row r="12" spans="1:25" x14ac:dyDescent="0.2">
      <c r="A12" s="318" t="s">
        <v>121</v>
      </c>
      <c r="B12" s="319">
        <f>'HDD and CDD'!B31</f>
        <v>176.6</v>
      </c>
      <c r="C12" s="319">
        <f>'HDD and CDD'!B43</f>
        <v>226.7</v>
      </c>
      <c r="D12" s="319">
        <f>'HDD and CDD'!B55</f>
        <v>171.9</v>
      </c>
      <c r="E12" s="319">
        <f>'HDD and CDD'!B67</f>
        <v>216.1</v>
      </c>
      <c r="F12" s="319">
        <f>'HDD and CDD'!B79</f>
        <v>289</v>
      </c>
      <c r="G12" s="319">
        <f>'HDD and CDD'!B91</f>
        <v>77.099999999999994</v>
      </c>
      <c r="H12" s="319">
        <f>'HDD and CDD'!B103</f>
        <v>126.7</v>
      </c>
      <c r="I12" s="319">
        <f>'HDD and CDD'!B115</f>
        <v>152.4</v>
      </c>
      <c r="J12" s="319">
        <f>'HDD and CDD'!B127</f>
        <v>140.30000000000001</v>
      </c>
      <c r="K12" s="319">
        <f>'HDD and CDD'!B139</f>
        <v>266.8</v>
      </c>
      <c r="L12" s="319">
        <f>'HDD and CDD'!B151</f>
        <v>217</v>
      </c>
      <c r="M12" s="319">
        <f>'HDD and CDD'!B163</f>
        <v>196.2</v>
      </c>
      <c r="N12" s="319">
        <f>'HDD and CDD'!B175</f>
        <v>244.9</v>
      </c>
      <c r="O12" s="319">
        <f>'HDD and CDD'!B187</f>
        <v>177.8</v>
      </c>
      <c r="P12" s="319">
        <f>'HDD and CDD'!B199</f>
        <v>166.4</v>
      </c>
      <c r="Q12" s="319">
        <f>'HDD and CDD'!B211</f>
        <v>243.1</v>
      </c>
      <c r="R12" s="319">
        <f>'HDD and CDD'!B223</f>
        <v>192.8</v>
      </c>
      <c r="S12" s="319">
        <f>'HDD and CDD'!B235</f>
        <v>144.69999999999999</v>
      </c>
      <c r="T12" s="319">
        <f>'HDD and CDD'!B247</f>
        <v>148.69999999999999</v>
      </c>
      <c r="U12" s="319">
        <f>'HDD and CDD'!B259</f>
        <v>103.8</v>
      </c>
      <c r="V12" s="320">
        <f t="shared" si="2"/>
        <v>183.54000000000002</v>
      </c>
      <c r="W12" s="321">
        <f t="shared" si="3"/>
        <v>165.07270676691724</v>
      </c>
      <c r="X12" s="320">
        <f t="shared" si="4"/>
        <v>183.95</v>
      </c>
      <c r="Y12" s="321">
        <f t="shared" si="5"/>
        <v>182.57647058823531</v>
      </c>
    </row>
    <row r="13" spans="1:25" x14ac:dyDescent="0.2">
      <c r="A13" s="318" t="s">
        <v>248</v>
      </c>
      <c r="B13" s="319">
        <f>'HDD and CDD'!B32</f>
        <v>47.3</v>
      </c>
      <c r="C13" s="319">
        <f>'HDD and CDD'!B44</f>
        <v>38.4</v>
      </c>
      <c r="D13" s="319">
        <f>'HDD and CDD'!B56</f>
        <v>25.9</v>
      </c>
      <c r="E13" s="319">
        <f>'HDD and CDD'!B68</f>
        <v>29.4</v>
      </c>
      <c r="F13" s="319">
        <f>'HDD and CDD'!B80</f>
        <v>30.4</v>
      </c>
      <c r="G13" s="319">
        <f>'HDD and CDD'!B92</f>
        <v>66.7</v>
      </c>
      <c r="H13" s="319">
        <f>'HDD and CDD'!B104</f>
        <v>44.4</v>
      </c>
      <c r="I13" s="319">
        <f>'HDD and CDD'!B116</f>
        <v>41.1</v>
      </c>
      <c r="J13" s="319">
        <f>'HDD and CDD'!B128</f>
        <v>47</v>
      </c>
      <c r="K13" s="319">
        <f>'HDD and CDD'!B140</f>
        <v>53.1</v>
      </c>
      <c r="L13" s="319">
        <f>'HDD and CDD'!B152</f>
        <v>65.3</v>
      </c>
      <c r="M13" s="319">
        <f>'HDD and CDD'!B164</f>
        <v>92.5</v>
      </c>
      <c r="N13" s="319">
        <f>'HDD and CDD'!B176</f>
        <v>27.3</v>
      </c>
      <c r="O13" s="319">
        <f>'HDD and CDD'!B188</f>
        <v>44.1</v>
      </c>
      <c r="P13" s="319">
        <f>'HDD and CDD'!B200</f>
        <v>35.5</v>
      </c>
      <c r="Q13" s="319">
        <f>'HDD and CDD'!B212</f>
        <v>40.6</v>
      </c>
      <c r="R13" s="319">
        <f>'HDD and CDD'!B224</f>
        <v>75.7</v>
      </c>
      <c r="S13" s="319">
        <f>'HDD and CDD'!B236</f>
        <v>37.700000000000003</v>
      </c>
      <c r="T13" s="319">
        <f>'HDD and CDD'!B248</f>
        <v>48.5</v>
      </c>
      <c r="U13" s="319">
        <f>'HDD and CDD'!B260</f>
        <v>42.1</v>
      </c>
      <c r="V13" s="320">
        <f t="shared" si="2"/>
        <v>50.930000000000007</v>
      </c>
      <c r="W13" s="321">
        <f t="shared" si="3"/>
        <v>53.228345864661833</v>
      </c>
      <c r="X13" s="320">
        <f t="shared" si="4"/>
        <v>46.650000000000006</v>
      </c>
      <c r="Y13" s="321">
        <f t="shared" si="5"/>
        <v>48.317647058823539</v>
      </c>
    </row>
    <row r="14" spans="1:25" x14ac:dyDescent="0.2">
      <c r="A14" s="318" t="s">
        <v>249</v>
      </c>
      <c r="B14" s="319">
        <f>'HDD and CDD'!B33</f>
        <v>2.9</v>
      </c>
      <c r="C14" s="319">
        <f>'HDD and CDD'!B45</f>
        <v>6.3</v>
      </c>
      <c r="D14" s="319">
        <f>'HDD and CDD'!B57</f>
        <v>17.3</v>
      </c>
      <c r="E14" s="319">
        <f>'HDD and CDD'!B69</f>
        <v>18.899999999999999</v>
      </c>
      <c r="F14" s="319">
        <f>'HDD and CDD'!B81</f>
        <v>22.1</v>
      </c>
      <c r="G14" s="319">
        <f>'HDD and CDD'!B93</f>
        <v>6.9</v>
      </c>
      <c r="H14" s="319">
        <f>'HDD and CDD'!B105</f>
        <v>3.2</v>
      </c>
      <c r="I14" s="319">
        <f>'HDD and CDD'!B117</f>
        <v>18.600000000000001</v>
      </c>
      <c r="J14" s="319">
        <f>'HDD and CDD'!B129</f>
        <v>22.3</v>
      </c>
      <c r="K14" s="319">
        <f>'HDD and CDD'!B141</f>
        <v>4.7</v>
      </c>
      <c r="L14" s="319">
        <f>'HDD and CDD'!B153</f>
        <v>12.5</v>
      </c>
      <c r="M14" s="319">
        <f>'HDD and CDD'!B165</f>
        <v>21.3</v>
      </c>
      <c r="N14" s="319">
        <f>'HDD and CDD'!B177</f>
        <v>6.8</v>
      </c>
      <c r="O14" s="319">
        <f>'HDD and CDD'!B189</f>
        <v>6.5</v>
      </c>
      <c r="P14" s="319">
        <f>'HDD and CDD'!B201</f>
        <v>28</v>
      </c>
      <c r="Q14" s="319">
        <f>'HDD and CDD'!B213</f>
        <v>7.6</v>
      </c>
      <c r="R14" s="319">
        <f>'HDD and CDD'!B225</f>
        <v>37.6</v>
      </c>
      <c r="S14" s="319">
        <f>'HDD and CDD'!B237</f>
        <v>6.7</v>
      </c>
      <c r="T14" s="319">
        <f>'HDD and CDD'!B249</f>
        <v>0.8</v>
      </c>
      <c r="U14" s="319">
        <f>'HDD and CDD'!B261</f>
        <v>0</v>
      </c>
      <c r="V14" s="320">
        <f t="shared" si="2"/>
        <v>12.779999999999998</v>
      </c>
      <c r="W14" s="321">
        <f t="shared" si="3"/>
        <v>11.986240601503766</v>
      </c>
      <c r="X14" s="320">
        <f t="shared" si="4"/>
        <v>12.55</v>
      </c>
      <c r="Y14" s="321">
        <f t="shared" si="5"/>
        <v>13.205882352941176</v>
      </c>
    </row>
    <row r="15" spans="1:25" x14ac:dyDescent="0.2">
      <c r="A15" s="318" t="s">
        <v>250</v>
      </c>
      <c r="B15" s="319">
        <f>'HDD and CDD'!B34</f>
        <v>7.5</v>
      </c>
      <c r="C15" s="319">
        <f>'HDD and CDD'!B46</f>
        <v>39.200000000000003</v>
      </c>
      <c r="D15" s="319">
        <f>'HDD and CDD'!B58</f>
        <v>4.3</v>
      </c>
      <c r="E15" s="319">
        <f>'HDD and CDD'!B70</f>
        <v>6.2</v>
      </c>
      <c r="F15" s="319">
        <f>'HDD and CDD'!B82</f>
        <v>49.4</v>
      </c>
      <c r="G15" s="319">
        <f>'HDD and CDD'!B94</f>
        <v>12.1</v>
      </c>
      <c r="H15" s="319">
        <f>'HDD and CDD'!B106</f>
        <v>28.8</v>
      </c>
      <c r="I15" s="319">
        <f>'HDD and CDD'!B118</f>
        <v>29.7</v>
      </c>
      <c r="J15" s="319">
        <f>'HDD and CDD'!B130</f>
        <v>2.2999999999999998</v>
      </c>
      <c r="K15" s="319">
        <f>'HDD and CDD'!B142</f>
        <v>11</v>
      </c>
      <c r="L15" s="319">
        <f>'HDD and CDD'!B154</f>
        <v>18.899999999999999</v>
      </c>
      <c r="M15" s="319">
        <f>'HDD and CDD'!B166</f>
        <v>55</v>
      </c>
      <c r="N15" s="319">
        <f>'HDD and CDD'!B178</f>
        <v>11.9</v>
      </c>
      <c r="O15" s="319">
        <f>'HDD and CDD'!B190</f>
        <v>27.5</v>
      </c>
      <c r="P15" s="319">
        <f>'HDD and CDD'!B202</f>
        <v>19.7</v>
      </c>
      <c r="Q15" s="319">
        <f>'HDD and CDD'!B214</f>
        <v>36.200000000000003</v>
      </c>
      <c r="R15" s="319">
        <f>'HDD and CDD'!B226</f>
        <v>34.4</v>
      </c>
      <c r="S15" s="319">
        <f>'HDD and CDD'!B238</f>
        <v>9.6999999999999993</v>
      </c>
      <c r="T15" s="319">
        <f>'HDD and CDD'!B250</f>
        <v>6.9</v>
      </c>
      <c r="U15" s="319">
        <f>'HDD and CDD'!B262</f>
        <v>19.399999999999999</v>
      </c>
      <c r="V15" s="320">
        <f t="shared" si="2"/>
        <v>23.96</v>
      </c>
      <c r="W15" s="321">
        <f t="shared" si="3"/>
        <v>22.50541353383457</v>
      </c>
      <c r="X15" s="320">
        <f t="shared" si="4"/>
        <v>21.504999999999992</v>
      </c>
      <c r="Y15" s="321">
        <f t="shared" si="5"/>
        <v>22.299999999999994</v>
      </c>
    </row>
    <row r="16" spans="1:25" x14ac:dyDescent="0.2">
      <c r="A16" s="318" t="s">
        <v>251</v>
      </c>
      <c r="B16" s="319">
        <f>'HDD and CDD'!B35</f>
        <v>156.4</v>
      </c>
      <c r="C16" s="319">
        <f>'HDD and CDD'!B47</f>
        <v>105.4</v>
      </c>
      <c r="D16" s="319">
        <f>'HDD and CDD'!B59</f>
        <v>143.6</v>
      </c>
      <c r="E16" s="319">
        <f>'HDD and CDD'!B71</f>
        <v>102.2</v>
      </c>
      <c r="F16" s="319">
        <f>'HDD and CDD'!B83</f>
        <v>115.2</v>
      </c>
      <c r="G16" s="319">
        <f>'HDD and CDD'!B95</f>
        <v>63</v>
      </c>
      <c r="H16" s="319">
        <f>'HDD and CDD'!B107</f>
        <v>88.9</v>
      </c>
      <c r="I16" s="319">
        <f>'HDD and CDD'!B119</f>
        <v>134</v>
      </c>
      <c r="J16" s="319">
        <f>'HDD and CDD'!B131</f>
        <v>118.8</v>
      </c>
      <c r="K16" s="319">
        <f>'HDD and CDD'!B143</f>
        <v>50.2</v>
      </c>
      <c r="L16" s="319">
        <f>'HDD and CDD'!B155</f>
        <v>104.1</v>
      </c>
      <c r="M16" s="319">
        <f>'HDD and CDD'!B167</f>
        <v>71.3</v>
      </c>
      <c r="N16" s="319">
        <f>'HDD and CDD'!B179</f>
        <v>63.4</v>
      </c>
      <c r="O16" s="319">
        <f>'HDD and CDD'!B191</f>
        <v>130.30000000000001</v>
      </c>
      <c r="P16" s="319">
        <f>'HDD and CDD'!B203</f>
        <v>74.7</v>
      </c>
      <c r="Q16" s="319">
        <f>'HDD and CDD'!B215</f>
        <v>93.2</v>
      </c>
      <c r="R16" s="319">
        <f>'HDD and CDD'!B227</f>
        <v>88.8</v>
      </c>
      <c r="S16" s="319">
        <f>'HDD and CDD'!B239</f>
        <v>122.7</v>
      </c>
      <c r="T16" s="319">
        <f>'HDD and CDD'!B251</f>
        <v>88.9</v>
      </c>
      <c r="U16" s="319">
        <f>'HDD and CDD'!B263</f>
        <v>125.4</v>
      </c>
      <c r="V16" s="320">
        <f t="shared" si="2"/>
        <v>96.28</v>
      </c>
      <c r="W16" s="321">
        <f t="shared" si="3"/>
        <v>87.795263157894624</v>
      </c>
      <c r="X16" s="320">
        <f t="shared" si="4"/>
        <v>102.02500000000001</v>
      </c>
      <c r="Y16" s="321">
        <f t="shared" si="5"/>
        <v>96.182352941176475</v>
      </c>
    </row>
    <row r="17" spans="1:25" x14ac:dyDescent="0.2">
      <c r="A17" s="318" t="s">
        <v>252</v>
      </c>
      <c r="B17" s="319">
        <f>'HDD and CDD'!B36</f>
        <v>335.9</v>
      </c>
      <c r="C17" s="319">
        <f>'HDD and CDD'!B48</f>
        <v>263.7</v>
      </c>
      <c r="D17" s="319">
        <f>'HDD and CDD'!B60</f>
        <v>245.5</v>
      </c>
      <c r="E17" s="319">
        <f>'HDD and CDD'!B72</f>
        <v>301.39999999999998</v>
      </c>
      <c r="F17" s="319">
        <f>'HDD and CDD'!B84</f>
        <v>288.89999999999998</v>
      </c>
      <c r="G17" s="319">
        <f>'HDD and CDD'!B96</f>
        <v>257.60000000000002</v>
      </c>
      <c r="H17" s="319">
        <f>'HDD and CDD'!B108</f>
        <v>319</v>
      </c>
      <c r="I17" s="319">
        <f>'HDD and CDD'!B120</f>
        <v>251.6</v>
      </c>
      <c r="J17" s="319">
        <f>'HDD and CDD'!B132</f>
        <v>276.7</v>
      </c>
      <c r="K17" s="319">
        <f>'HDD and CDD'!B144</f>
        <v>345.6</v>
      </c>
      <c r="L17" s="319">
        <f>'HDD and CDD'!B156</f>
        <v>331.9</v>
      </c>
      <c r="M17" s="319">
        <f>'HDD and CDD'!B168</f>
        <v>287.5</v>
      </c>
      <c r="N17" s="319">
        <f>'HDD and CDD'!B180</f>
        <v>259.89999999999998</v>
      </c>
      <c r="O17" s="319">
        <f>'HDD and CDD'!B192</f>
        <v>335.1</v>
      </c>
      <c r="P17" s="319">
        <f>'HDD and CDD'!B204</f>
        <v>184.7</v>
      </c>
      <c r="Q17" s="319">
        <f>'HDD and CDD'!B216</f>
        <v>325.7</v>
      </c>
      <c r="R17" s="319">
        <f>'HDD and CDD'!B228</f>
        <v>329.1</v>
      </c>
      <c r="S17" s="319">
        <f>'HDD and CDD'!B240</f>
        <v>279.60000000000002</v>
      </c>
      <c r="T17" s="319">
        <f>'HDD and CDD'!B252</f>
        <v>279.89999999999998</v>
      </c>
      <c r="U17" s="319">
        <f>'HDD and CDD'!B264</f>
        <v>279.2</v>
      </c>
      <c r="V17" s="320">
        <f t="shared" si="2"/>
        <v>289.26</v>
      </c>
      <c r="W17" s="321">
        <f t="shared" si="3"/>
        <v>288.84977443609029</v>
      </c>
      <c r="X17" s="320">
        <f t="shared" si="4"/>
        <v>288.92500000000001</v>
      </c>
      <c r="Y17" s="321">
        <f t="shared" si="5"/>
        <v>290.2</v>
      </c>
    </row>
    <row r="18" spans="1:25" x14ac:dyDescent="0.2">
      <c r="A18" s="318" t="s">
        <v>253</v>
      </c>
      <c r="B18" s="319">
        <f>'HDD and CDD'!B37</f>
        <v>463.5</v>
      </c>
      <c r="C18" s="319">
        <f>'HDD and CDD'!B49</f>
        <v>405.3</v>
      </c>
      <c r="D18" s="319">
        <f>'HDD and CDD'!B61</f>
        <v>539.20000000000005</v>
      </c>
      <c r="E18" s="319">
        <f>'HDD and CDD'!B73</f>
        <v>548.1</v>
      </c>
      <c r="F18" s="319">
        <f>'HDD and CDD'!B85</f>
        <v>471.4</v>
      </c>
      <c r="G18" s="319">
        <f>'HDD and CDD'!B97</f>
        <v>440.1</v>
      </c>
      <c r="H18" s="319">
        <f>'HDD and CDD'!B109</f>
        <v>405.1</v>
      </c>
      <c r="I18" s="319">
        <f>'HDD and CDD'!B121</f>
        <v>470.9</v>
      </c>
      <c r="J18" s="319">
        <f>'HDD and CDD'!B133</f>
        <v>370.8</v>
      </c>
      <c r="K18" s="319">
        <f>'HDD and CDD'!B145</f>
        <v>486.4</v>
      </c>
      <c r="L18" s="319">
        <f>'HDD and CDD'!B157</f>
        <v>434.4</v>
      </c>
      <c r="M18" s="319">
        <f>'HDD and CDD'!B169</f>
        <v>432.9</v>
      </c>
      <c r="N18" s="319">
        <f>'HDD and CDD'!B181</f>
        <v>433.1</v>
      </c>
      <c r="O18" s="319">
        <f>'HDD and CDD'!B193</f>
        <v>415.9</v>
      </c>
      <c r="P18" s="319">
        <f>'HDD and CDD'!B205</f>
        <v>511.8</v>
      </c>
      <c r="Q18" s="319">
        <f>'HDD and CDD'!B217</f>
        <v>499.7</v>
      </c>
      <c r="R18" s="319">
        <f>'HDD and CDD'!B229</f>
        <v>396.5</v>
      </c>
      <c r="S18" s="319">
        <f>'HDD and CDD'!B241</f>
        <v>337.9</v>
      </c>
      <c r="T18" s="319">
        <f>'HDD and CDD'!B253</f>
        <v>382.4</v>
      </c>
      <c r="U18" s="319">
        <f>'HDD and CDD'!B265</f>
        <v>483.6</v>
      </c>
      <c r="V18" s="320">
        <f t="shared" si="2"/>
        <v>432.82000000000005</v>
      </c>
      <c r="W18" s="321">
        <f t="shared" si="3"/>
        <v>411.68887218045074</v>
      </c>
      <c r="X18" s="320">
        <f t="shared" si="4"/>
        <v>446.44999999999993</v>
      </c>
      <c r="Y18" s="321">
        <f t="shared" si="5"/>
        <v>442.41176470588238</v>
      </c>
    </row>
    <row r="19" spans="1:25" x14ac:dyDescent="0.2">
      <c r="A19" s="318" t="s">
        <v>254</v>
      </c>
      <c r="B19" s="319">
        <f>'HDD and CDD'!B38</f>
        <v>649.6</v>
      </c>
      <c r="C19" s="319">
        <f>'HDD and CDD'!B50</f>
        <v>591.1</v>
      </c>
      <c r="D19" s="319">
        <f>'HDD and CDD'!B62</f>
        <v>741.3</v>
      </c>
      <c r="E19" s="319">
        <f>'HDD and CDD'!B74</f>
        <v>596.5</v>
      </c>
      <c r="F19" s="319">
        <f>'HDD and CDD'!B86</f>
        <v>630.70000000000005</v>
      </c>
      <c r="G19" s="319">
        <f>'HDD and CDD'!B98</f>
        <v>572.1</v>
      </c>
      <c r="H19" s="319">
        <f>'HDD and CDD'!B110</f>
        <v>623.70000000000005</v>
      </c>
      <c r="I19" s="319">
        <f>'HDD and CDD'!B122</f>
        <v>826.5</v>
      </c>
      <c r="J19" s="319">
        <f>'HDD and CDD'!B134</f>
        <v>563.29999999999995</v>
      </c>
      <c r="K19" s="319">
        <f>'HDD and CDD'!B146</f>
        <v>675.6</v>
      </c>
      <c r="L19" s="319">
        <f>'HDD and CDD'!B158</f>
        <v>610</v>
      </c>
      <c r="M19" s="319">
        <f>'HDD and CDD'!B170</f>
        <v>700.1</v>
      </c>
      <c r="N19" s="319">
        <f>'HDD and CDD'!B182</f>
        <v>721.6</v>
      </c>
      <c r="O19" s="319">
        <f>'HDD and CDD'!B194</f>
        <v>545.20000000000005</v>
      </c>
      <c r="P19" s="319">
        <f>'HDD and CDD'!B206</f>
        <v>686.6</v>
      </c>
      <c r="Q19" s="319">
        <f>'HDD and CDD'!B218</f>
        <v>694</v>
      </c>
      <c r="R19" s="319">
        <f>'HDD and CDD'!B230</f>
        <v>669.5</v>
      </c>
      <c r="S19" s="319">
        <f>'HDD and CDD'!B242</f>
        <v>719.4</v>
      </c>
      <c r="T19" s="319">
        <f>'HDD and CDD'!B254</f>
        <v>574.79999999999995</v>
      </c>
      <c r="U19" s="319">
        <f>'HDD and CDD'!B266</f>
        <v>565.5</v>
      </c>
      <c r="V19" s="320">
        <f t="shared" si="2"/>
        <v>648.66999999999996</v>
      </c>
      <c r="W19" s="321">
        <f t="shared" si="3"/>
        <v>645.63368421052621</v>
      </c>
      <c r="X19" s="320">
        <f t="shared" si="4"/>
        <v>647.85500000000002</v>
      </c>
      <c r="Y19" s="321">
        <f t="shared" si="5"/>
        <v>645.59411764705885</v>
      </c>
    </row>
    <row r="20" spans="1:25" x14ac:dyDescent="0.2">
      <c r="A20" s="318"/>
      <c r="B20" s="318"/>
      <c r="C20" s="318"/>
      <c r="D20" s="318"/>
      <c r="E20" s="318"/>
      <c r="F20" s="318"/>
      <c r="Q20" s="318"/>
      <c r="R20" s="318"/>
      <c r="S20" s="318"/>
      <c r="T20" s="318"/>
      <c r="U20" s="318"/>
    </row>
    <row r="21" spans="1:25" x14ac:dyDescent="0.2">
      <c r="A21" s="318" t="s">
        <v>12</v>
      </c>
      <c r="B21" s="319">
        <f t="shared" ref="B21:U21" si="6">SUM(B8:B19)</f>
        <v>4240.4000000000005</v>
      </c>
      <c r="C21" s="319">
        <f t="shared" si="6"/>
        <v>4382.6000000000004</v>
      </c>
      <c r="D21" s="319">
        <f t="shared" si="6"/>
        <v>4249.9000000000005</v>
      </c>
      <c r="E21" s="319">
        <f t="shared" si="6"/>
        <v>4413.1000000000004</v>
      </c>
      <c r="F21" s="319">
        <f t="shared" si="6"/>
        <v>4301</v>
      </c>
      <c r="G21" s="319">
        <f t="shared" si="6"/>
        <v>3512.5999999999995</v>
      </c>
      <c r="H21" s="319">
        <f t="shared" si="6"/>
        <v>3932.8999999999996</v>
      </c>
      <c r="I21" s="319">
        <f t="shared" si="6"/>
        <v>4146.7999999999993</v>
      </c>
      <c r="J21" s="319">
        <f t="shared" si="6"/>
        <v>3820.0000000000009</v>
      </c>
      <c r="K21" s="319">
        <f t="shared" si="6"/>
        <v>4048.4999999999995</v>
      </c>
      <c r="L21" s="319">
        <f t="shared" si="6"/>
        <v>4454.5</v>
      </c>
      <c r="M21" s="319">
        <f t="shared" si="6"/>
        <v>4330.2000000000007</v>
      </c>
      <c r="N21" s="319">
        <f t="shared" si="6"/>
        <v>4302.2000000000007</v>
      </c>
      <c r="O21" s="319">
        <f t="shared" si="6"/>
        <v>3809.1000000000004</v>
      </c>
      <c r="P21" s="319">
        <f t="shared" si="6"/>
        <v>4175.8</v>
      </c>
      <c r="Q21" s="319">
        <f t="shared" si="6"/>
        <v>4252.0999999999985</v>
      </c>
      <c r="R21" s="319">
        <f t="shared" si="6"/>
        <v>4269.8999999999996</v>
      </c>
      <c r="S21" s="319">
        <f t="shared" si="6"/>
        <v>3756.7999999999993</v>
      </c>
      <c r="T21" s="319">
        <f t="shared" si="6"/>
        <v>3845.7</v>
      </c>
      <c r="U21" s="319">
        <f t="shared" si="6"/>
        <v>3584.7</v>
      </c>
    </row>
    <row r="22" spans="1:25" x14ac:dyDescent="0.2">
      <c r="A22" s="312"/>
      <c r="B22" s="312"/>
      <c r="C22" s="312"/>
      <c r="D22" s="312"/>
      <c r="E22" s="313"/>
      <c r="F22" s="313"/>
      <c r="U22" s="323">
        <f>SUM(B21:U21)</f>
        <v>81828.799999999988</v>
      </c>
    </row>
    <row r="23" spans="1:25" x14ac:dyDescent="0.2">
      <c r="A23" s="312" t="s">
        <v>255</v>
      </c>
      <c r="B23" s="312"/>
      <c r="C23" s="312"/>
      <c r="D23" s="312"/>
      <c r="E23" s="313"/>
      <c r="F23" s="313"/>
    </row>
    <row r="24" spans="1:25" x14ac:dyDescent="0.2">
      <c r="A24" s="314"/>
      <c r="B24" s="314"/>
      <c r="C24" s="314"/>
      <c r="D24" s="314"/>
      <c r="E24" s="315"/>
      <c r="F24" s="315"/>
    </row>
    <row r="25" spans="1:25" x14ac:dyDescent="0.2">
      <c r="A25" s="316" t="s">
        <v>241</v>
      </c>
      <c r="B25" s="316">
        <v>1993</v>
      </c>
      <c r="C25" s="316">
        <v>1994</v>
      </c>
      <c r="D25" s="316">
        <v>1995</v>
      </c>
      <c r="E25" s="316">
        <v>1996</v>
      </c>
      <c r="F25" s="316">
        <v>1997</v>
      </c>
      <c r="G25" s="316">
        <v>1998</v>
      </c>
      <c r="H25" s="316">
        <v>1999</v>
      </c>
      <c r="I25" s="316">
        <v>2000</v>
      </c>
      <c r="J25" s="316">
        <v>2001</v>
      </c>
      <c r="K25" s="316">
        <v>2002</v>
      </c>
      <c r="L25" s="316">
        <v>2003</v>
      </c>
      <c r="M25" s="316">
        <v>2004</v>
      </c>
      <c r="N25" s="316">
        <v>2005</v>
      </c>
      <c r="O25" s="316">
        <v>2006</v>
      </c>
      <c r="P25" s="316">
        <v>2007</v>
      </c>
      <c r="Q25" s="316">
        <v>2008</v>
      </c>
      <c r="R25" s="316">
        <v>2009</v>
      </c>
      <c r="S25" s="316">
        <v>2010</v>
      </c>
      <c r="T25" s="316">
        <v>2011</v>
      </c>
      <c r="U25" s="316">
        <v>2012</v>
      </c>
      <c r="V25" s="317" t="s">
        <v>242</v>
      </c>
      <c r="W25" s="317" t="s">
        <v>243</v>
      </c>
      <c r="X25" s="317" t="s">
        <v>257</v>
      </c>
      <c r="Y25" s="317" t="s">
        <v>258</v>
      </c>
    </row>
    <row r="26" spans="1:25" x14ac:dyDescent="0.2">
      <c r="A26" s="314"/>
      <c r="B26" s="314"/>
      <c r="C26" s="314"/>
      <c r="D26" s="314"/>
      <c r="E26" s="313"/>
      <c r="F26" s="313"/>
      <c r="V26" s="324"/>
      <c r="W26" s="324"/>
    </row>
    <row r="27" spans="1:25" x14ac:dyDescent="0.2">
      <c r="E27" s="313"/>
      <c r="F27" s="313"/>
      <c r="V27" s="324"/>
      <c r="W27" s="324"/>
    </row>
    <row r="28" spans="1:25" x14ac:dyDescent="0.2">
      <c r="A28" s="318" t="s">
        <v>244</v>
      </c>
      <c r="B28" s="319">
        <f>'HDD and CDD'!C27</f>
        <v>0</v>
      </c>
      <c r="C28" s="319">
        <f>'HDD and CDD'!C39</f>
        <v>0</v>
      </c>
      <c r="D28" s="319">
        <f>'HDD and CDD'!C51</f>
        <v>0</v>
      </c>
      <c r="E28" s="319">
        <f>'HDD and CDD'!C63</f>
        <v>0</v>
      </c>
      <c r="F28" s="319">
        <f>'HDD and CDD'!C75</f>
        <v>0</v>
      </c>
      <c r="G28" s="319">
        <f>'HDD and CDD'!C87</f>
        <v>0</v>
      </c>
      <c r="H28" s="319">
        <f>'HDD and CDD'!C99</f>
        <v>0</v>
      </c>
      <c r="I28" s="319">
        <f>'HDD and CDD'!C111</f>
        <v>0</v>
      </c>
      <c r="J28" s="319">
        <f>'HDD and CDD'!C123</f>
        <v>0</v>
      </c>
      <c r="K28" s="319">
        <f>'HDD and CDD'!C135</f>
        <v>0</v>
      </c>
      <c r="L28" s="319">
        <f>'HDD and CDD'!C147</f>
        <v>0</v>
      </c>
      <c r="M28" s="319">
        <f>'HDD and CDD'!C159</f>
        <v>0</v>
      </c>
      <c r="N28" s="319">
        <f>'HDD and CDD'!C171</f>
        <v>0</v>
      </c>
      <c r="O28" s="319">
        <f>'HDD and CDD'!C183</f>
        <v>0</v>
      </c>
      <c r="P28" s="319">
        <f>'HDD and CDD'!C195</f>
        <v>0</v>
      </c>
      <c r="Q28" s="319">
        <f>'HDD and CDD'!C207</f>
        <v>0</v>
      </c>
      <c r="R28" s="319">
        <f>'HDD and CDD'!C219</f>
        <v>0</v>
      </c>
      <c r="S28" s="319">
        <f>'HDD and CDD'!C231</f>
        <v>0</v>
      </c>
      <c r="T28" s="319">
        <f>'HDD and CDD'!C243</f>
        <v>0</v>
      </c>
      <c r="U28" s="319">
        <f>'HDD and CDD'!C255</f>
        <v>0</v>
      </c>
      <c r="V28" s="320">
        <f>AVERAGE(L28:U28)</f>
        <v>0</v>
      </c>
      <c r="W28" s="321">
        <f>TREND(B28:U28,$B$25:$U$25,2014)</f>
        <v>0</v>
      </c>
      <c r="X28" s="320">
        <f>AVERAGE(B28:U28)</f>
        <v>0</v>
      </c>
      <c r="Y28" s="321">
        <f>AVERAGE(E28:U28)</f>
        <v>0</v>
      </c>
    </row>
    <row r="29" spans="1:25" x14ac:dyDescent="0.2">
      <c r="A29" s="318" t="s">
        <v>245</v>
      </c>
      <c r="B29" s="319">
        <f>'HDD and CDD'!C28</f>
        <v>0</v>
      </c>
      <c r="C29" s="319">
        <f>'HDD and CDD'!C40</f>
        <v>0</v>
      </c>
      <c r="D29" s="319">
        <f>'HDD and CDD'!C52</f>
        <v>0</v>
      </c>
      <c r="E29" s="319">
        <f>'HDD and CDD'!C64</f>
        <v>0</v>
      </c>
      <c r="F29" s="319">
        <f>'HDD and CDD'!C76</f>
        <v>0</v>
      </c>
      <c r="G29" s="319">
        <f>'HDD and CDD'!C88</f>
        <v>0</v>
      </c>
      <c r="H29" s="319">
        <f>'HDD and CDD'!C100</f>
        <v>0</v>
      </c>
      <c r="I29" s="319">
        <f>'HDD and CDD'!C112</f>
        <v>0</v>
      </c>
      <c r="J29" s="319">
        <f>'HDD and CDD'!C124</f>
        <v>0</v>
      </c>
      <c r="K29" s="319">
        <f>'HDD and CDD'!C136</f>
        <v>0</v>
      </c>
      <c r="L29" s="319">
        <f>'HDD and CDD'!C148</f>
        <v>0</v>
      </c>
      <c r="M29" s="319">
        <f>'HDD and CDD'!C160</f>
        <v>0</v>
      </c>
      <c r="N29" s="319">
        <f>'HDD and CDD'!C172</f>
        <v>0</v>
      </c>
      <c r="O29" s="319">
        <f>'HDD and CDD'!C184</f>
        <v>0</v>
      </c>
      <c r="P29" s="319">
        <f>'HDD and CDD'!C196</f>
        <v>0</v>
      </c>
      <c r="Q29" s="319">
        <f>'HDD and CDD'!C208</f>
        <v>0</v>
      </c>
      <c r="R29" s="319">
        <f>'HDD and CDD'!C220</f>
        <v>0</v>
      </c>
      <c r="S29" s="319">
        <f>'HDD and CDD'!C232</f>
        <v>0</v>
      </c>
      <c r="T29" s="319">
        <f>'HDD and CDD'!C244</f>
        <v>0</v>
      </c>
      <c r="U29" s="319">
        <f>'HDD and CDD'!C256</f>
        <v>0</v>
      </c>
      <c r="V29" s="320">
        <f t="shared" ref="V29:V39" si="7">AVERAGE(L29:U29)</f>
        <v>0</v>
      </c>
      <c r="W29" s="321">
        <f t="shared" ref="W29:W38" si="8">TREND(B29:U29,$B$25:$U$25,2014)</f>
        <v>0</v>
      </c>
      <c r="X29" s="320">
        <f t="shared" ref="X29:X39" si="9">AVERAGE(B29:U29)</f>
        <v>0</v>
      </c>
      <c r="Y29" s="321">
        <f t="shared" ref="Y29:Y39" si="10">AVERAGE(E29:U29)</f>
        <v>0</v>
      </c>
    </row>
    <row r="30" spans="1:25" x14ac:dyDescent="0.2">
      <c r="A30" s="318" t="s">
        <v>246</v>
      </c>
      <c r="B30" s="319">
        <f>'HDD and CDD'!C29</f>
        <v>0</v>
      </c>
      <c r="C30" s="319">
        <f>'HDD and CDD'!C41</f>
        <v>0</v>
      </c>
      <c r="D30" s="319">
        <f>'HDD and CDD'!C53</f>
        <v>0</v>
      </c>
      <c r="E30" s="319">
        <f>'HDD and CDD'!C65</f>
        <v>0</v>
      </c>
      <c r="F30" s="319">
        <f>'HDD and CDD'!C77</f>
        <v>0</v>
      </c>
      <c r="G30" s="319">
        <f>'HDD and CDD'!C89</f>
        <v>0</v>
      </c>
      <c r="H30" s="319">
        <f>'HDD and CDD'!C101</f>
        <v>0</v>
      </c>
      <c r="I30" s="319">
        <f>'HDD and CDD'!C113</f>
        <v>0</v>
      </c>
      <c r="J30" s="319">
        <f>'HDD and CDD'!C125</f>
        <v>0</v>
      </c>
      <c r="K30" s="319">
        <f>'HDD and CDD'!C137</f>
        <v>0</v>
      </c>
      <c r="L30" s="319">
        <f>'HDD and CDD'!C149</f>
        <v>0</v>
      </c>
      <c r="M30" s="319">
        <f>'HDD and CDD'!C161</f>
        <v>0</v>
      </c>
      <c r="N30" s="319">
        <f>'HDD and CDD'!C173</f>
        <v>0</v>
      </c>
      <c r="O30" s="319">
        <f>'HDD and CDD'!C185</f>
        <v>0</v>
      </c>
      <c r="P30" s="319">
        <f>'HDD and CDD'!C197</f>
        <v>0</v>
      </c>
      <c r="Q30" s="319">
        <f>'HDD and CDD'!C209</f>
        <v>0</v>
      </c>
      <c r="R30" s="319">
        <f>'HDD and CDD'!C221</f>
        <v>0</v>
      </c>
      <c r="S30" s="319">
        <f>'HDD and CDD'!C233</f>
        <v>0</v>
      </c>
      <c r="T30" s="319">
        <f>'HDD and CDD'!C245</f>
        <v>0</v>
      </c>
      <c r="U30" s="319">
        <f>'HDD and CDD'!C257</f>
        <v>0</v>
      </c>
      <c r="V30" s="320">
        <f t="shared" si="7"/>
        <v>0</v>
      </c>
      <c r="W30" s="321">
        <f t="shared" si="8"/>
        <v>0</v>
      </c>
      <c r="X30" s="320">
        <f t="shared" si="9"/>
        <v>0</v>
      </c>
      <c r="Y30" s="321">
        <f t="shared" si="10"/>
        <v>0</v>
      </c>
    </row>
    <row r="31" spans="1:25" x14ac:dyDescent="0.2">
      <c r="A31" s="318" t="s">
        <v>247</v>
      </c>
      <c r="B31" s="319">
        <f>'HDD and CDD'!C30</f>
        <v>0</v>
      </c>
      <c r="C31" s="319">
        <f>'HDD and CDD'!C42</f>
        <v>0</v>
      </c>
      <c r="D31" s="319">
        <f>'HDD and CDD'!C54</f>
        <v>0</v>
      </c>
      <c r="E31" s="319">
        <f>'HDD and CDD'!C66</f>
        <v>0</v>
      </c>
      <c r="F31" s="319">
        <f>'HDD and CDD'!C78</f>
        <v>0</v>
      </c>
      <c r="G31" s="319">
        <f>'HDD and CDD'!C90</f>
        <v>0</v>
      </c>
      <c r="H31" s="319">
        <f>'HDD and CDD'!C102</f>
        <v>0</v>
      </c>
      <c r="I31" s="319">
        <f>'HDD and CDD'!C114</f>
        <v>0</v>
      </c>
      <c r="J31" s="319">
        <f>'HDD and CDD'!C126</f>
        <v>0</v>
      </c>
      <c r="K31" s="319">
        <f>'HDD and CDD'!C138</f>
        <v>6.6</v>
      </c>
      <c r="L31" s="319">
        <f>'HDD and CDD'!C150</f>
        <v>0.7</v>
      </c>
      <c r="M31" s="319">
        <f>'HDD and CDD'!C162</f>
        <v>0</v>
      </c>
      <c r="N31" s="319">
        <f>'HDD and CDD'!C174</f>
        <v>0</v>
      </c>
      <c r="O31" s="319">
        <f>'HDD and CDD'!C186</f>
        <v>0</v>
      </c>
      <c r="P31" s="319">
        <f>'HDD and CDD'!C198</f>
        <v>0</v>
      </c>
      <c r="Q31" s="319">
        <f>'HDD and CDD'!C210</f>
        <v>0</v>
      </c>
      <c r="R31" s="319">
        <f>'HDD and CDD'!C222</f>
        <v>3.2</v>
      </c>
      <c r="S31" s="319">
        <f>'HDD and CDD'!C234</f>
        <v>0</v>
      </c>
      <c r="T31" s="319">
        <f>'HDD and CDD'!C246</f>
        <v>0</v>
      </c>
      <c r="U31" s="319">
        <f>'HDD and CDD'!C258</f>
        <v>0</v>
      </c>
      <c r="V31" s="320">
        <f t="shared" si="7"/>
        <v>0.39</v>
      </c>
      <c r="W31" s="321">
        <f t="shared" si="8"/>
        <v>0.83368421052631447</v>
      </c>
      <c r="X31" s="320">
        <f t="shared" si="9"/>
        <v>0.52500000000000002</v>
      </c>
      <c r="Y31" s="321">
        <f t="shared" si="10"/>
        <v>0.61764705882352944</v>
      </c>
    </row>
    <row r="32" spans="1:25" x14ac:dyDescent="0.2">
      <c r="A32" s="318" t="s">
        <v>121</v>
      </c>
      <c r="B32" s="319">
        <f>'HDD and CDD'!C31</f>
        <v>1.5</v>
      </c>
      <c r="C32" s="319">
        <f>'HDD and CDD'!C43</f>
        <v>6.9</v>
      </c>
      <c r="D32" s="319">
        <f>'HDD and CDD'!C55</f>
        <v>1.7</v>
      </c>
      <c r="E32" s="319">
        <f>'HDD and CDD'!C67</f>
        <v>10</v>
      </c>
      <c r="F32" s="319">
        <f>'HDD and CDD'!C79</f>
        <v>0</v>
      </c>
      <c r="G32" s="319">
        <f>'HDD and CDD'!C91</f>
        <v>16.8</v>
      </c>
      <c r="H32" s="319">
        <f>'HDD and CDD'!C103</f>
        <v>10.5</v>
      </c>
      <c r="I32" s="319">
        <f>'HDD and CDD'!C115</f>
        <v>18.7</v>
      </c>
      <c r="J32" s="319">
        <f>'HDD and CDD'!C127</f>
        <v>7.7</v>
      </c>
      <c r="K32" s="319">
        <f>'HDD and CDD'!C139</f>
        <v>5.3</v>
      </c>
      <c r="L32" s="319">
        <f>'HDD and CDD'!C151</f>
        <v>0</v>
      </c>
      <c r="M32" s="319">
        <f>'HDD and CDD'!C163</f>
        <v>6.7</v>
      </c>
      <c r="N32" s="319">
        <f>'HDD and CDD'!C175</f>
        <v>0</v>
      </c>
      <c r="O32" s="319">
        <f>'HDD and CDD'!C187</f>
        <v>17.7</v>
      </c>
      <c r="P32" s="319">
        <f>'HDD and CDD'!C199</f>
        <v>11.2</v>
      </c>
      <c r="Q32" s="319">
        <f>'HDD and CDD'!C211</f>
        <v>0.7</v>
      </c>
      <c r="R32" s="319">
        <f>'HDD and CDD'!C223</f>
        <v>2.2999999999999998</v>
      </c>
      <c r="S32" s="319">
        <f>'HDD and CDD'!C235</f>
        <v>21</v>
      </c>
      <c r="T32" s="319">
        <f>'HDD and CDD'!C247</f>
        <v>13.2</v>
      </c>
      <c r="U32" s="319">
        <f>'HDD and CDD'!C259</f>
        <v>18.2</v>
      </c>
      <c r="V32" s="320">
        <f t="shared" si="7"/>
        <v>9.1</v>
      </c>
      <c r="W32" s="321">
        <f t="shared" si="8"/>
        <v>12.99864661654135</v>
      </c>
      <c r="X32" s="320">
        <f t="shared" si="9"/>
        <v>8.504999999999999</v>
      </c>
      <c r="Y32" s="321">
        <f t="shared" si="10"/>
        <v>9.4117647058823533</v>
      </c>
    </row>
    <row r="33" spans="1:25" x14ac:dyDescent="0.2">
      <c r="A33" s="318" t="s">
        <v>248</v>
      </c>
      <c r="B33" s="319">
        <f>'HDD and CDD'!C32</f>
        <v>26.2</v>
      </c>
      <c r="C33" s="319">
        <f>'HDD and CDD'!C44</f>
        <v>61.6</v>
      </c>
      <c r="D33" s="319">
        <f>'HDD and CDD'!C56</f>
        <v>70.8</v>
      </c>
      <c r="E33" s="319">
        <f>'HDD and CDD'!C68</f>
        <v>38.6</v>
      </c>
      <c r="F33" s="319">
        <f>'HDD and CDD'!C80</f>
        <v>50.4</v>
      </c>
      <c r="G33" s="319">
        <f>'HDD and CDD'!C92</f>
        <v>63.7</v>
      </c>
      <c r="H33" s="319">
        <f>'HDD and CDD'!C104</f>
        <v>76.5</v>
      </c>
      <c r="I33" s="319">
        <f>'HDD and CDD'!C116</f>
        <v>35.4</v>
      </c>
      <c r="J33" s="319">
        <f>'HDD and CDD'!C128</f>
        <v>62.4</v>
      </c>
      <c r="K33" s="319">
        <f>'HDD and CDD'!C140</f>
        <v>54.5</v>
      </c>
      <c r="L33" s="319">
        <f>'HDD and CDD'!C152</f>
        <v>25.5</v>
      </c>
      <c r="M33" s="319">
        <f>'HDD and CDD'!C164</f>
        <v>16.3</v>
      </c>
      <c r="N33" s="319">
        <f>'HDD and CDD'!C176</f>
        <v>104.8</v>
      </c>
      <c r="O33" s="319">
        <f>'HDD and CDD'!C188</f>
        <v>32.200000000000003</v>
      </c>
      <c r="P33" s="319">
        <f>'HDD and CDD'!C200</f>
        <v>51.2</v>
      </c>
      <c r="Q33" s="319">
        <f>'HDD and CDD'!C212</f>
        <v>53</v>
      </c>
      <c r="R33" s="319">
        <f>'HDD and CDD'!C224</f>
        <v>26.2</v>
      </c>
      <c r="S33" s="319">
        <f>'HDD and CDD'!C236</f>
        <v>26.8</v>
      </c>
      <c r="T33" s="319">
        <f>'HDD and CDD'!C248</f>
        <v>21.6</v>
      </c>
      <c r="U33" s="319">
        <f>'HDD and CDD'!C260</f>
        <v>61.2</v>
      </c>
      <c r="V33" s="320">
        <f t="shared" si="7"/>
        <v>41.88</v>
      </c>
      <c r="W33" s="321">
        <f t="shared" si="8"/>
        <v>38.861729323308282</v>
      </c>
      <c r="X33" s="320">
        <f t="shared" si="9"/>
        <v>47.945</v>
      </c>
      <c r="Y33" s="321">
        <f t="shared" si="10"/>
        <v>47.076470588235296</v>
      </c>
    </row>
    <row r="34" spans="1:25" x14ac:dyDescent="0.2">
      <c r="A34" s="318" t="s">
        <v>249</v>
      </c>
      <c r="B34" s="319">
        <f>'HDD and CDD'!C33</f>
        <v>97.1</v>
      </c>
      <c r="C34" s="319">
        <f>'HDD and CDD'!C45</f>
        <v>77.7</v>
      </c>
      <c r="D34" s="319">
        <f>'HDD and CDD'!C57</f>
        <v>105.9</v>
      </c>
      <c r="E34" s="319">
        <f>'HDD and CDD'!C69</f>
        <v>41.9</v>
      </c>
      <c r="F34" s="319">
        <f>'HDD and CDD'!C81</f>
        <v>59.8</v>
      </c>
      <c r="G34" s="319">
        <f>'HDD and CDD'!C93</f>
        <v>64.8</v>
      </c>
      <c r="H34" s="319">
        <f>'HDD and CDD'!C105</f>
        <v>138.9</v>
      </c>
      <c r="I34" s="319">
        <f>'HDD and CDD'!C117</f>
        <v>44.8</v>
      </c>
      <c r="J34" s="319">
        <f>'HDD and CDD'!C129</f>
        <v>65.7</v>
      </c>
      <c r="K34" s="319">
        <f>'HDD and CDD'!C141</f>
        <v>129</v>
      </c>
      <c r="L34" s="319">
        <f>'HDD and CDD'!C153</f>
        <v>50.1</v>
      </c>
      <c r="M34" s="319">
        <f>'HDD and CDD'!C165</f>
        <v>49.3</v>
      </c>
      <c r="N34" s="319">
        <f>'HDD and CDD'!C177</f>
        <v>105.4</v>
      </c>
      <c r="O34" s="319">
        <f>'HDD and CDD'!C189</f>
        <v>117.2</v>
      </c>
      <c r="P34" s="319">
        <f>'HDD and CDD'!C201</f>
        <v>53.8</v>
      </c>
      <c r="Q34" s="319">
        <f>'HDD and CDD'!C213</f>
        <v>75.8</v>
      </c>
      <c r="R34" s="319">
        <f>'HDD and CDD'!C225</f>
        <v>14.5</v>
      </c>
      <c r="S34" s="319">
        <f>'HDD and CDD'!C237</f>
        <v>100.6</v>
      </c>
      <c r="T34" s="319">
        <f>'HDD and CDD'!C249</f>
        <v>128.19999999999999</v>
      </c>
      <c r="U34" s="319">
        <f>'HDD and CDD'!C261</f>
        <v>116.4</v>
      </c>
      <c r="V34" s="320">
        <f t="shared" si="7"/>
        <v>81.13000000000001</v>
      </c>
      <c r="W34" s="321">
        <f t="shared" si="8"/>
        <v>89.536165413534036</v>
      </c>
      <c r="X34" s="320">
        <f t="shared" si="9"/>
        <v>81.844999999999999</v>
      </c>
      <c r="Y34" s="321">
        <f t="shared" si="10"/>
        <v>79.776470588235298</v>
      </c>
    </row>
    <row r="35" spans="1:25" x14ac:dyDescent="0.2">
      <c r="A35" s="318" t="s">
        <v>250</v>
      </c>
      <c r="B35" s="319">
        <f>'HDD and CDD'!C34</f>
        <v>93.8</v>
      </c>
      <c r="C35" s="319">
        <f>'HDD and CDD'!C46</f>
        <v>27.3</v>
      </c>
      <c r="D35" s="319">
        <f>'HDD and CDD'!C58</f>
        <v>101.9</v>
      </c>
      <c r="E35" s="319">
        <f>'HDD and CDD'!C70</f>
        <v>55.2</v>
      </c>
      <c r="F35" s="319">
        <f>'HDD and CDD'!C82</f>
        <v>21.9</v>
      </c>
      <c r="G35" s="319">
        <f>'HDD and CDD'!C94</f>
        <v>83.1</v>
      </c>
      <c r="H35" s="319">
        <f>'HDD and CDD'!C106</f>
        <v>30.9</v>
      </c>
      <c r="I35" s="319">
        <f>'HDD and CDD'!C118</f>
        <v>46.3</v>
      </c>
      <c r="J35" s="319">
        <f>'HDD and CDD'!C130</f>
        <v>94.2</v>
      </c>
      <c r="K35" s="319">
        <f>'HDD and CDD'!C142</f>
        <v>72.3</v>
      </c>
      <c r="L35" s="319">
        <f>'HDD and CDD'!C154</f>
        <v>72.400000000000006</v>
      </c>
      <c r="M35" s="319">
        <f>'HDD and CDD'!C166</f>
        <v>30.6</v>
      </c>
      <c r="N35" s="319">
        <f>'HDD and CDD'!C178</f>
        <v>67.900000000000006</v>
      </c>
      <c r="O35" s="319">
        <f>'HDD and CDD'!C190</f>
        <v>45.5</v>
      </c>
      <c r="P35" s="319">
        <f>'HDD and CDD'!C202</f>
        <v>65.099999999999994</v>
      </c>
      <c r="Q35" s="319">
        <f>'HDD and CDD'!C214</f>
        <v>29.5</v>
      </c>
      <c r="R35" s="319">
        <f>'HDD and CDD'!C226</f>
        <v>57.3</v>
      </c>
      <c r="S35" s="319">
        <f>'HDD and CDD'!C238</f>
        <v>79.2</v>
      </c>
      <c r="T35" s="319">
        <f>'HDD and CDD'!C250</f>
        <v>54.3</v>
      </c>
      <c r="U35" s="319">
        <f>'HDD and CDD'!C262</f>
        <v>58.1</v>
      </c>
      <c r="V35" s="320">
        <f t="shared" si="7"/>
        <v>55.989999999999995</v>
      </c>
      <c r="W35" s="321">
        <f t="shared" si="8"/>
        <v>54.226390977443657</v>
      </c>
      <c r="X35" s="320">
        <f t="shared" si="9"/>
        <v>59.339999999999989</v>
      </c>
      <c r="Y35" s="321">
        <f t="shared" si="10"/>
        <v>56.694117647058818</v>
      </c>
    </row>
    <row r="36" spans="1:25" x14ac:dyDescent="0.2">
      <c r="A36" s="318" t="s">
        <v>251</v>
      </c>
      <c r="B36" s="319">
        <f>'HDD and CDD'!C35</f>
        <v>4</v>
      </c>
      <c r="C36" s="319">
        <f>'HDD and CDD'!C47</f>
        <v>7.5</v>
      </c>
      <c r="D36" s="319">
        <f>'HDD and CDD'!C59</f>
        <v>10.8</v>
      </c>
      <c r="E36" s="319">
        <f>'HDD and CDD'!C71</f>
        <v>12.6</v>
      </c>
      <c r="F36" s="319">
        <f>'HDD and CDD'!C83</f>
        <v>5.4</v>
      </c>
      <c r="G36" s="319">
        <f>'HDD and CDD'!C95</f>
        <v>26</v>
      </c>
      <c r="H36" s="319">
        <f>'HDD and CDD'!C107</f>
        <v>27.7</v>
      </c>
      <c r="I36" s="319">
        <f>'HDD and CDD'!C119</f>
        <v>23.8</v>
      </c>
      <c r="J36" s="319">
        <f>'HDD and CDD'!C131</f>
        <v>19.2</v>
      </c>
      <c r="K36" s="319">
        <f>'HDD and CDD'!C143</f>
        <v>47</v>
      </c>
      <c r="L36" s="319">
        <f>'HDD and CDD'!C155</f>
        <v>6</v>
      </c>
      <c r="M36" s="319">
        <f>'HDD and CDD'!C167</f>
        <v>13.7</v>
      </c>
      <c r="N36" s="319">
        <f>'HDD and CDD'!C179</f>
        <v>13.7</v>
      </c>
      <c r="O36" s="319">
        <f>'HDD and CDD'!C191</f>
        <v>2.2999999999999998</v>
      </c>
      <c r="P36" s="319">
        <f>'HDD and CDD'!C203</f>
        <v>28</v>
      </c>
      <c r="Q36" s="319">
        <f>'HDD and CDD'!C215</f>
        <v>12</v>
      </c>
      <c r="R36" s="319">
        <f>'HDD and CDD'!C227</f>
        <v>5.5</v>
      </c>
      <c r="S36" s="319">
        <f>'HDD and CDD'!C239</f>
        <v>16.7</v>
      </c>
      <c r="T36" s="319">
        <f>'HDD and CDD'!C251</f>
        <v>17.2</v>
      </c>
      <c r="U36" s="319">
        <f>'HDD and CDD'!C263</f>
        <v>16.399999999999999</v>
      </c>
      <c r="V36" s="320">
        <f t="shared" si="7"/>
        <v>13.15</v>
      </c>
      <c r="W36" s="321">
        <f t="shared" si="8"/>
        <v>17.517293233082682</v>
      </c>
      <c r="X36" s="320">
        <f t="shared" si="9"/>
        <v>15.774999999999997</v>
      </c>
      <c r="Y36" s="321">
        <f t="shared" si="10"/>
        <v>17.247058823529407</v>
      </c>
    </row>
    <row r="37" spans="1:25" x14ac:dyDescent="0.2">
      <c r="A37" s="318" t="s">
        <v>252</v>
      </c>
      <c r="B37" s="319">
        <f>'HDD and CDD'!C36</f>
        <v>1</v>
      </c>
      <c r="C37" s="319">
        <f>'HDD and CDD'!C48</f>
        <v>0</v>
      </c>
      <c r="D37" s="319">
        <f>'HDD and CDD'!C60</f>
        <v>0</v>
      </c>
      <c r="E37" s="319">
        <f>'HDD and CDD'!C72</f>
        <v>0</v>
      </c>
      <c r="F37" s="319">
        <f>'HDD and CDD'!C84</f>
        <v>1.6</v>
      </c>
      <c r="G37" s="319">
        <f>'HDD and CDD'!C96</f>
        <v>0</v>
      </c>
      <c r="H37" s="319">
        <f>'HDD and CDD'!C108</f>
        <v>0</v>
      </c>
      <c r="I37" s="319">
        <f>'HDD and CDD'!C120</f>
        <v>0</v>
      </c>
      <c r="J37" s="319">
        <f>'HDD and CDD'!C132</f>
        <v>0</v>
      </c>
      <c r="K37" s="319">
        <f>'HDD and CDD'!C144</f>
        <v>6.3</v>
      </c>
      <c r="L37" s="319">
        <f>'HDD and CDD'!C156</f>
        <v>0</v>
      </c>
      <c r="M37" s="319">
        <f>'HDD and CDD'!C168</f>
        <v>0</v>
      </c>
      <c r="N37" s="319">
        <f>'HDD and CDD'!C180</f>
        <v>2.6</v>
      </c>
      <c r="O37" s="319">
        <f>'HDD and CDD'!C192</f>
        <v>0</v>
      </c>
      <c r="P37" s="319">
        <f>'HDD and CDD'!C204</f>
        <v>10.9</v>
      </c>
      <c r="Q37" s="319">
        <f>'HDD and CDD'!C216</f>
        <v>0</v>
      </c>
      <c r="R37" s="319">
        <f>'HDD and CDD'!C228</f>
        <v>0</v>
      </c>
      <c r="S37" s="319">
        <f>'HDD and CDD'!C240</f>
        <v>0</v>
      </c>
      <c r="T37" s="319">
        <f>'HDD and CDD'!C252</f>
        <v>0</v>
      </c>
      <c r="U37" s="319">
        <f>'HDD and CDD'!C264</f>
        <v>0</v>
      </c>
      <c r="V37" s="320">
        <f t="shared" si="7"/>
        <v>1.35</v>
      </c>
      <c r="W37" s="321">
        <f t="shared" si="8"/>
        <v>1.7096992481203017</v>
      </c>
      <c r="X37" s="320">
        <f t="shared" si="9"/>
        <v>1.1199999999999999</v>
      </c>
      <c r="Y37" s="321">
        <f t="shared" si="10"/>
        <v>1.2588235294117647</v>
      </c>
    </row>
    <row r="38" spans="1:25" x14ac:dyDescent="0.2">
      <c r="A38" s="318" t="s">
        <v>253</v>
      </c>
      <c r="B38" s="319">
        <f>'HDD and CDD'!C37</f>
        <v>0</v>
      </c>
      <c r="C38" s="319">
        <f>'HDD and CDD'!C49</f>
        <v>0</v>
      </c>
      <c r="D38" s="319">
        <f>'HDD and CDD'!C61</f>
        <v>0</v>
      </c>
      <c r="E38" s="319">
        <f>'HDD and CDD'!C73</f>
        <v>0</v>
      </c>
      <c r="F38" s="319">
        <f>'HDD and CDD'!C85</f>
        <v>0</v>
      </c>
      <c r="G38" s="319">
        <f>'HDD and CDD'!C97</f>
        <v>0</v>
      </c>
      <c r="H38" s="319">
        <f>'HDD and CDD'!C109</f>
        <v>0</v>
      </c>
      <c r="I38" s="319">
        <f>'HDD and CDD'!C121</f>
        <v>0</v>
      </c>
      <c r="J38" s="319">
        <f>'HDD and CDD'!C133</f>
        <v>0</v>
      </c>
      <c r="K38" s="319">
        <f>'HDD and CDD'!C145</f>
        <v>0</v>
      </c>
      <c r="L38" s="319">
        <f>'HDD and CDD'!C157</f>
        <v>0</v>
      </c>
      <c r="M38" s="319">
        <f>'HDD and CDD'!C169</f>
        <v>0</v>
      </c>
      <c r="N38" s="319">
        <f>'HDD and CDD'!C181</f>
        <v>0</v>
      </c>
      <c r="O38" s="319">
        <f>'HDD and CDD'!C193</f>
        <v>0</v>
      </c>
      <c r="P38" s="319">
        <f>'HDD and CDD'!C205</f>
        <v>0</v>
      </c>
      <c r="Q38" s="319">
        <f>'HDD and CDD'!C217</f>
        <v>0</v>
      </c>
      <c r="R38" s="319">
        <f>'HDD and CDD'!C229</f>
        <v>0</v>
      </c>
      <c r="S38" s="319">
        <f>'HDD and CDD'!C241</f>
        <v>0</v>
      </c>
      <c r="T38" s="319">
        <f>'HDD and CDD'!C253</f>
        <v>0</v>
      </c>
      <c r="U38" s="319">
        <f>'HDD and CDD'!C265</f>
        <v>0</v>
      </c>
      <c r="V38" s="320">
        <f t="shared" si="7"/>
        <v>0</v>
      </c>
      <c r="W38" s="321">
        <f t="shared" si="8"/>
        <v>0</v>
      </c>
      <c r="X38" s="320">
        <f t="shared" si="9"/>
        <v>0</v>
      </c>
      <c r="Y38" s="321">
        <f t="shared" si="10"/>
        <v>0</v>
      </c>
    </row>
    <row r="39" spans="1:25" x14ac:dyDescent="0.2">
      <c r="A39" s="318" t="s">
        <v>254</v>
      </c>
      <c r="B39" s="319">
        <f>'HDD and CDD'!C38</f>
        <v>0</v>
      </c>
      <c r="C39" s="319">
        <f>'HDD and CDD'!C50</f>
        <v>0</v>
      </c>
      <c r="D39" s="319">
        <f>'HDD and CDD'!C62</f>
        <v>0</v>
      </c>
      <c r="E39" s="319">
        <f>'HDD and CDD'!C74</f>
        <v>0</v>
      </c>
      <c r="F39" s="319">
        <f>'HDD and CDD'!C86</f>
        <v>0</v>
      </c>
      <c r="G39" s="319">
        <f>'HDD and CDD'!C98</f>
        <v>0</v>
      </c>
      <c r="H39" s="319">
        <f>'HDD and CDD'!C110</f>
        <v>0</v>
      </c>
      <c r="I39" s="319">
        <f>'HDD and CDD'!C122</f>
        <v>0</v>
      </c>
      <c r="J39" s="319">
        <f>'HDD and CDD'!C134</f>
        <v>0</v>
      </c>
      <c r="K39" s="319">
        <f>'HDD and CDD'!C146</f>
        <v>0</v>
      </c>
      <c r="L39" s="319">
        <f>'HDD and CDD'!C158</f>
        <v>0</v>
      </c>
      <c r="M39" s="319">
        <f>'HDD and CDD'!C170</f>
        <v>0</v>
      </c>
      <c r="N39" s="319">
        <f>'HDD and CDD'!C182</f>
        <v>0</v>
      </c>
      <c r="O39" s="319">
        <f>'HDD and CDD'!C194</f>
        <v>0</v>
      </c>
      <c r="P39" s="319">
        <f>'HDD and CDD'!C206</f>
        <v>0</v>
      </c>
      <c r="Q39" s="319">
        <f>'HDD and CDD'!C218</f>
        <v>0</v>
      </c>
      <c r="R39" s="319">
        <f>'HDD and CDD'!C230</f>
        <v>0</v>
      </c>
      <c r="S39" s="319">
        <f>'HDD and CDD'!C242</f>
        <v>0</v>
      </c>
      <c r="T39" s="319">
        <f>'HDD and CDD'!C254</f>
        <v>0</v>
      </c>
      <c r="U39" s="319">
        <f>'HDD and CDD'!C266</f>
        <v>0</v>
      </c>
      <c r="V39" s="320">
        <f t="shared" si="7"/>
        <v>0</v>
      </c>
      <c r="W39" s="321">
        <f>TREND(B39:U39,$B$25:$U$25,2014)</f>
        <v>0</v>
      </c>
      <c r="X39" s="320">
        <f t="shared" si="9"/>
        <v>0</v>
      </c>
      <c r="Y39" s="321">
        <f t="shared" si="10"/>
        <v>0</v>
      </c>
    </row>
    <row r="40" spans="1:25" x14ac:dyDescent="0.2">
      <c r="A40" s="318"/>
      <c r="B40" s="318"/>
      <c r="C40" s="318"/>
      <c r="D40" s="318"/>
      <c r="E40" s="318"/>
      <c r="F40" s="318"/>
      <c r="G40" s="313"/>
      <c r="H40" s="313"/>
      <c r="Q40" s="318"/>
      <c r="R40" s="318"/>
      <c r="S40" s="318"/>
      <c r="T40" s="318"/>
      <c r="U40" s="318"/>
    </row>
    <row r="41" spans="1:25" x14ac:dyDescent="0.2">
      <c r="A41" s="318" t="s">
        <v>12</v>
      </c>
      <c r="B41" s="319">
        <f t="shared" ref="B41:U41" si="11">SUM(B28:B39)</f>
        <v>223.6</v>
      </c>
      <c r="C41" s="319">
        <f t="shared" si="11"/>
        <v>181</v>
      </c>
      <c r="D41" s="319">
        <f t="shared" si="11"/>
        <v>291.10000000000002</v>
      </c>
      <c r="E41" s="319">
        <f t="shared" si="11"/>
        <v>158.29999999999998</v>
      </c>
      <c r="F41" s="319">
        <f t="shared" si="11"/>
        <v>139.1</v>
      </c>
      <c r="G41" s="319">
        <f t="shared" si="11"/>
        <v>254.4</v>
      </c>
      <c r="H41" s="319">
        <f t="shared" si="11"/>
        <v>284.5</v>
      </c>
      <c r="I41" s="319">
        <f t="shared" si="11"/>
        <v>169</v>
      </c>
      <c r="J41" s="319">
        <f t="shared" si="11"/>
        <v>249.2</v>
      </c>
      <c r="K41" s="319">
        <f t="shared" si="11"/>
        <v>321</v>
      </c>
      <c r="L41" s="319">
        <f t="shared" si="11"/>
        <v>154.69999999999999</v>
      </c>
      <c r="M41" s="319">
        <f t="shared" si="11"/>
        <v>116.60000000000001</v>
      </c>
      <c r="N41" s="319">
        <f t="shared" si="11"/>
        <v>294.40000000000003</v>
      </c>
      <c r="O41" s="319">
        <f t="shared" si="11"/>
        <v>214.90000000000003</v>
      </c>
      <c r="P41" s="319">
        <f t="shared" si="11"/>
        <v>220.20000000000002</v>
      </c>
      <c r="Q41" s="319">
        <f t="shared" si="11"/>
        <v>171</v>
      </c>
      <c r="R41" s="319">
        <f t="shared" si="11"/>
        <v>109</v>
      </c>
      <c r="S41" s="319">
        <f t="shared" si="11"/>
        <v>244.29999999999995</v>
      </c>
      <c r="T41" s="319">
        <f t="shared" si="11"/>
        <v>234.5</v>
      </c>
      <c r="U41" s="319">
        <f t="shared" si="11"/>
        <v>270.3</v>
      </c>
      <c r="V41" s="322"/>
      <c r="W41" s="322"/>
    </row>
    <row r="42" spans="1:25" x14ac:dyDescent="0.2">
      <c r="A42" s="318"/>
      <c r="B42" s="318"/>
      <c r="C42" s="318"/>
      <c r="D42" s="318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U42" s="323">
        <f>SUM(B41:U41)</f>
        <v>4301.0999999999995</v>
      </c>
    </row>
    <row r="43" spans="1:25" x14ac:dyDescent="0.2">
      <c r="A43" s="318"/>
      <c r="B43" s="318"/>
      <c r="C43" s="318"/>
      <c r="D43" s="318"/>
      <c r="E43" s="313"/>
      <c r="F43" s="313"/>
      <c r="G43" s="313"/>
      <c r="H43" s="313"/>
    </row>
    <row r="44" spans="1:25" x14ac:dyDescent="0.2">
      <c r="A44" s="312"/>
      <c r="B44" s="312"/>
      <c r="C44" s="312"/>
      <c r="D44" s="312"/>
      <c r="E44" s="313"/>
      <c r="F44" s="31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A28" workbookViewId="0">
      <selection sqref="A1:G49"/>
    </sheetView>
  </sheetViews>
  <sheetFormatPr defaultRowHeight="12.75" x14ac:dyDescent="0.2"/>
  <cols>
    <col min="1" max="1" width="1.42578125" customWidth="1"/>
    <col min="3" max="3" width="12.85546875" customWidth="1"/>
    <col min="5" max="5" width="12.7109375" bestFit="1" customWidth="1"/>
    <col min="6" max="7" width="12.7109375" customWidth="1"/>
  </cols>
  <sheetData>
    <row r="1" spans="2:7" ht="7.5" customHeight="1" thickBot="1" x14ac:dyDescent="0.25"/>
    <row r="2" spans="2:7" ht="38.25" customHeight="1" x14ac:dyDescent="0.2">
      <c r="B2" s="369"/>
      <c r="C2" s="370"/>
      <c r="D2" s="380"/>
      <c r="E2" s="459" t="s">
        <v>305</v>
      </c>
      <c r="F2" s="459" t="s">
        <v>315</v>
      </c>
      <c r="G2" s="459" t="s">
        <v>314</v>
      </c>
    </row>
    <row r="3" spans="2:7" ht="25.5" customHeight="1" thickBot="1" x14ac:dyDescent="0.25">
      <c r="B3" s="376"/>
      <c r="C3" s="377"/>
      <c r="D3" s="381"/>
      <c r="E3" s="460"/>
      <c r="F3" s="460"/>
      <c r="G3" s="460"/>
    </row>
    <row r="4" spans="2:7" x14ac:dyDescent="0.2">
      <c r="B4" s="371"/>
      <c r="C4" s="63"/>
      <c r="D4" s="63"/>
      <c r="E4" s="63"/>
      <c r="F4" s="63"/>
      <c r="G4" s="372"/>
    </row>
    <row r="5" spans="2:7" x14ac:dyDescent="0.2">
      <c r="B5" s="383" t="s">
        <v>210</v>
      </c>
      <c r="C5" s="63"/>
      <c r="D5" s="63"/>
      <c r="E5" s="63"/>
      <c r="F5" s="63"/>
      <c r="G5" s="372"/>
    </row>
    <row r="6" spans="2:7" x14ac:dyDescent="0.2">
      <c r="B6" s="371"/>
      <c r="C6" s="63" t="s">
        <v>306</v>
      </c>
      <c r="D6" s="63"/>
      <c r="E6" s="373">
        <v>48091</v>
      </c>
      <c r="F6" s="373">
        <f>G6-E6</f>
        <v>-0.27186945780704264</v>
      </c>
      <c r="G6" s="374">
        <f>Summary!O16</f>
        <v>48090.728130542193</v>
      </c>
    </row>
    <row r="7" spans="2:7" x14ac:dyDescent="0.2">
      <c r="B7" s="371"/>
      <c r="C7" s="382" t="s">
        <v>132</v>
      </c>
      <c r="D7" s="63"/>
      <c r="E7" s="373">
        <v>395264057</v>
      </c>
      <c r="F7" s="373">
        <f>G7-E7</f>
        <v>5382031.4373856187</v>
      </c>
      <c r="G7" s="374">
        <f>Summary!O17</f>
        <v>400646088.43738562</v>
      </c>
    </row>
    <row r="8" spans="2:7" x14ac:dyDescent="0.2">
      <c r="B8" s="371"/>
      <c r="C8" s="63"/>
      <c r="D8" s="63"/>
      <c r="E8" s="373"/>
      <c r="F8" s="63"/>
      <c r="G8" s="372"/>
    </row>
    <row r="9" spans="2:7" x14ac:dyDescent="0.2">
      <c r="B9" s="383" t="s">
        <v>307</v>
      </c>
      <c r="C9" s="63"/>
      <c r="D9" s="63"/>
      <c r="E9" s="373"/>
      <c r="F9" s="63"/>
      <c r="G9" s="372"/>
    </row>
    <row r="10" spans="2:7" x14ac:dyDescent="0.2">
      <c r="B10" s="371"/>
      <c r="C10" s="63" t="s">
        <v>306</v>
      </c>
      <c r="D10" s="63"/>
      <c r="E10" s="373">
        <v>4740</v>
      </c>
      <c r="F10" s="373">
        <f>G10-E10</f>
        <v>0.49817028842335276</v>
      </c>
      <c r="G10" s="374">
        <f>Summary!O20</f>
        <v>4740.4981702884234</v>
      </c>
    </row>
    <row r="11" spans="2:7" x14ac:dyDescent="0.2">
      <c r="B11" s="371"/>
      <c r="C11" s="382" t="s">
        <v>132</v>
      </c>
      <c r="D11" s="63"/>
      <c r="E11" s="373">
        <v>153517084</v>
      </c>
      <c r="F11" s="373">
        <f>G11-E11</f>
        <v>2090333.2360686958</v>
      </c>
      <c r="G11" s="374">
        <f>Summary!O21</f>
        <v>155607417.2360687</v>
      </c>
    </row>
    <row r="12" spans="2:7" x14ac:dyDescent="0.2">
      <c r="B12" s="371"/>
      <c r="C12" s="63"/>
      <c r="D12" s="63"/>
      <c r="E12" s="373"/>
      <c r="F12" s="373" t="s">
        <v>295</v>
      </c>
      <c r="G12" s="372"/>
    </row>
    <row r="13" spans="2:7" x14ac:dyDescent="0.2">
      <c r="B13" s="383" t="s">
        <v>316</v>
      </c>
      <c r="C13" s="63"/>
      <c r="D13" s="63"/>
      <c r="E13" s="373"/>
      <c r="F13" s="373" t="s">
        <v>295</v>
      </c>
      <c r="G13" s="372"/>
    </row>
    <row r="14" spans="2:7" x14ac:dyDescent="0.2">
      <c r="B14" s="371"/>
      <c r="C14" s="63" t="s">
        <v>306</v>
      </c>
      <c r="D14" s="63"/>
      <c r="E14" s="373">
        <v>773</v>
      </c>
      <c r="F14" s="373">
        <f>G14-E14</f>
        <v>-0.4440537595155547</v>
      </c>
      <c r="G14" s="374">
        <f>Summary!O24</f>
        <v>772.55594624048445</v>
      </c>
    </row>
    <row r="15" spans="2:7" x14ac:dyDescent="0.2">
      <c r="B15" s="371"/>
      <c r="C15" s="382" t="s">
        <v>132</v>
      </c>
      <c r="D15" s="63"/>
      <c r="E15" s="373">
        <v>431657534</v>
      </c>
      <c r="F15" s="373">
        <f>G15-E15</f>
        <v>2890555.3076749444</v>
      </c>
      <c r="G15" s="374">
        <f>Summary!O25</f>
        <v>434548089.30767494</v>
      </c>
    </row>
    <row r="16" spans="2:7" x14ac:dyDescent="0.2">
      <c r="B16" s="371"/>
      <c r="C16" s="382" t="s">
        <v>133</v>
      </c>
      <c r="D16" s="63"/>
      <c r="E16" s="373">
        <v>1226670</v>
      </c>
      <c r="F16" s="373">
        <f>G16-E16</f>
        <v>8214.3370373398066</v>
      </c>
      <c r="G16" s="374">
        <f>Summary!O26</f>
        <v>1234884.3370373398</v>
      </c>
    </row>
    <row r="17" spans="2:7" x14ac:dyDescent="0.2">
      <c r="B17" s="371"/>
      <c r="C17" s="63"/>
      <c r="D17" s="63"/>
      <c r="E17" s="373"/>
      <c r="F17" s="373" t="s">
        <v>295</v>
      </c>
      <c r="G17" s="372"/>
    </row>
    <row r="18" spans="2:7" x14ac:dyDescent="0.2">
      <c r="B18" s="383" t="s">
        <v>308</v>
      </c>
      <c r="C18" s="63"/>
      <c r="D18" s="63"/>
      <c r="E18" s="373"/>
      <c r="F18" s="373" t="s">
        <v>295</v>
      </c>
      <c r="G18" s="372"/>
    </row>
    <row r="19" spans="2:7" x14ac:dyDescent="0.2">
      <c r="B19" s="371"/>
      <c r="C19" s="63" t="s">
        <v>306</v>
      </c>
      <c r="D19" s="63"/>
      <c r="E19" s="373">
        <v>27</v>
      </c>
      <c r="F19" s="373">
        <f>G19-E19</f>
        <v>0.38046444305475191</v>
      </c>
      <c r="G19" s="374">
        <f>Summary!O29</f>
        <v>27.380464443054752</v>
      </c>
    </row>
    <row r="20" spans="2:7" x14ac:dyDescent="0.2">
      <c r="B20" s="371"/>
      <c r="C20" s="382" t="s">
        <v>132</v>
      </c>
      <c r="D20" s="63"/>
      <c r="E20" s="373">
        <v>221335611</v>
      </c>
      <c r="F20" s="373">
        <f>G20-E20</f>
        <v>34195.978224277496</v>
      </c>
      <c r="G20" s="374">
        <f>Summary!O30</f>
        <v>221369806.97822428</v>
      </c>
    </row>
    <row r="21" spans="2:7" x14ac:dyDescent="0.2">
      <c r="B21" s="371"/>
      <c r="C21" s="382" t="s">
        <v>133</v>
      </c>
      <c r="D21" s="63"/>
      <c r="E21" s="373">
        <v>526492</v>
      </c>
      <c r="F21" s="373">
        <f>G21-E21</f>
        <v>81.442715051118284</v>
      </c>
      <c r="G21" s="374">
        <f>Summary!O31</f>
        <v>526573.44271505112</v>
      </c>
    </row>
    <row r="22" spans="2:7" x14ac:dyDescent="0.2">
      <c r="B22" s="371"/>
      <c r="C22" s="63"/>
      <c r="D22" s="63"/>
      <c r="E22" s="373"/>
      <c r="F22" s="373" t="s">
        <v>295</v>
      </c>
      <c r="G22" s="372"/>
    </row>
    <row r="23" spans="2:7" x14ac:dyDescent="0.2">
      <c r="B23" s="383" t="s">
        <v>309</v>
      </c>
      <c r="C23" s="63"/>
      <c r="D23" s="63"/>
      <c r="E23" s="373"/>
      <c r="F23" s="373" t="s">
        <v>295</v>
      </c>
      <c r="G23" s="372"/>
    </row>
    <row r="24" spans="2:7" x14ac:dyDescent="0.2">
      <c r="B24" s="371"/>
      <c r="C24" s="63" t="s">
        <v>306</v>
      </c>
      <c r="D24" s="63"/>
      <c r="E24" s="373">
        <f>2</f>
        <v>2</v>
      </c>
      <c r="F24" s="373">
        <f>G24-E24</f>
        <v>0</v>
      </c>
      <c r="G24" s="374">
        <f>Summary!O34</f>
        <v>2</v>
      </c>
    </row>
    <row r="25" spans="2:7" x14ac:dyDescent="0.2">
      <c r="B25" s="371"/>
      <c r="C25" s="382" t="s">
        <v>132</v>
      </c>
      <c r="D25" s="63"/>
      <c r="E25" s="373">
        <f>208256974</f>
        <v>208256974</v>
      </c>
      <c r="F25" s="375">
        <f>G25-E25</f>
        <v>-1184624.9921932518</v>
      </c>
      <c r="G25" s="374">
        <f>Summary!O35</f>
        <v>207072349.00780675</v>
      </c>
    </row>
    <row r="26" spans="2:7" x14ac:dyDescent="0.2">
      <c r="B26" s="371"/>
      <c r="C26" s="382" t="s">
        <v>133</v>
      </c>
      <c r="D26" s="63"/>
      <c r="E26" s="373">
        <f>431512+1</f>
        <v>431513</v>
      </c>
      <c r="F26" s="375">
        <f>G26-E26</f>
        <v>-2455.8544412500923</v>
      </c>
      <c r="G26" s="374">
        <f>Summary!O36</f>
        <v>429057.14555874991</v>
      </c>
    </row>
    <row r="27" spans="2:7" x14ac:dyDescent="0.2">
      <c r="B27" s="371"/>
      <c r="C27" s="63"/>
      <c r="D27" s="63"/>
      <c r="E27" s="373"/>
      <c r="F27" s="373" t="s">
        <v>295</v>
      </c>
      <c r="G27" s="372"/>
    </row>
    <row r="28" spans="2:7" x14ac:dyDescent="0.2">
      <c r="B28" s="383" t="s">
        <v>162</v>
      </c>
      <c r="C28" s="63"/>
      <c r="D28" s="63"/>
      <c r="E28" s="373"/>
      <c r="F28" s="373" t="s">
        <v>295</v>
      </c>
      <c r="G28" s="372"/>
    </row>
    <row r="29" spans="2:7" x14ac:dyDescent="0.2">
      <c r="B29" s="371"/>
      <c r="C29" s="63" t="s">
        <v>306</v>
      </c>
      <c r="D29" s="63"/>
      <c r="E29" s="373">
        <v>1</v>
      </c>
      <c r="F29" s="373">
        <f>G29-E29</f>
        <v>0</v>
      </c>
      <c r="G29" s="374">
        <f>Summary!O39</f>
        <v>1</v>
      </c>
    </row>
    <row r="30" spans="2:7" x14ac:dyDescent="0.2">
      <c r="B30" s="371"/>
      <c r="C30" s="63" t="s">
        <v>132</v>
      </c>
      <c r="D30" s="63"/>
      <c r="E30" s="373">
        <v>46157494</v>
      </c>
      <c r="F30" s="375">
        <f>G30-E30</f>
        <v>-262557.45468028635</v>
      </c>
      <c r="G30" s="374">
        <f>Summary!O40</f>
        <v>45894936.545319714</v>
      </c>
    </row>
    <row r="31" spans="2:7" x14ac:dyDescent="0.2">
      <c r="B31" s="371"/>
      <c r="C31" s="63" t="s">
        <v>133</v>
      </c>
      <c r="D31" s="63"/>
      <c r="E31" s="373">
        <v>79664</v>
      </c>
      <c r="F31" s="375">
        <f>G31-E31</f>
        <v>-452.70069276849972</v>
      </c>
      <c r="G31" s="374">
        <f>Summary!O41</f>
        <v>79211.2993072315</v>
      </c>
    </row>
    <row r="32" spans="2:7" x14ac:dyDescent="0.2">
      <c r="B32" s="371"/>
      <c r="C32" s="63"/>
      <c r="D32" s="63"/>
      <c r="E32" s="373"/>
      <c r="F32" s="373" t="s">
        <v>295</v>
      </c>
      <c r="G32" s="372"/>
    </row>
    <row r="33" spans="2:7" x14ac:dyDescent="0.2">
      <c r="B33" s="383" t="s">
        <v>310</v>
      </c>
      <c r="C33" s="63"/>
      <c r="D33" s="63"/>
      <c r="E33" s="373"/>
      <c r="F33" s="373" t="s">
        <v>295</v>
      </c>
      <c r="G33" s="372"/>
    </row>
    <row r="34" spans="2:7" x14ac:dyDescent="0.2">
      <c r="B34" s="371"/>
      <c r="C34" s="63" t="s">
        <v>311</v>
      </c>
      <c r="D34" s="63"/>
      <c r="E34" s="373">
        <v>482</v>
      </c>
      <c r="F34" s="373">
        <f>G34-E34</f>
        <v>0.28317916692543577</v>
      </c>
      <c r="G34" s="374">
        <f>Summary!O49</f>
        <v>482.28317916692544</v>
      </c>
    </row>
    <row r="35" spans="2:7" x14ac:dyDescent="0.2">
      <c r="B35" s="371"/>
      <c r="C35" s="382" t="s">
        <v>132</v>
      </c>
      <c r="D35" s="63"/>
      <c r="E35" s="373">
        <v>1756889</v>
      </c>
      <c r="F35" s="375">
        <f>G35-E35</f>
        <v>-9993.8847895462532</v>
      </c>
      <c r="G35" s="374">
        <f>Summary!O50</f>
        <v>1746895.1152104537</v>
      </c>
    </row>
    <row r="36" spans="2:7" x14ac:dyDescent="0.2">
      <c r="B36" s="371"/>
      <c r="C36" s="63"/>
      <c r="D36" s="63"/>
      <c r="E36" s="373"/>
      <c r="F36" s="373" t="s">
        <v>295</v>
      </c>
      <c r="G36" s="372"/>
    </row>
    <row r="37" spans="2:7" x14ac:dyDescent="0.2">
      <c r="B37" s="383" t="s">
        <v>312</v>
      </c>
      <c r="C37" s="63"/>
      <c r="D37" s="63"/>
      <c r="E37" s="373"/>
      <c r="F37" s="373" t="s">
        <v>295</v>
      </c>
      <c r="G37" s="372"/>
    </row>
    <row r="38" spans="2:7" x14ac:dyDescent="0.2">
      <c r="B38" s="371"/>
      <c r="C38" s="63" t="s">
        <v>311</v>
      </c>
      <c r="D38" s="63"/>
      <c r="E38" s="373">
        <v>12997</v>
      </c>
      <c r="F38" s="373">
        <f>G38-E38</f>
        <v>-0.4369691835327103</v>
      </c>
      <c r="G38" s="374">
        <f>Summary!O44</f>
        <v>12996.563030816467</v>
      </c>
    </row>
    <row r="39" spans="2:7" x14ac:dyDescent="0.2">
      <c r="B39" s="371"/>
      <c r="C39" s="382" t="s">
        <v>132</v>
      </c>
      <c r="D39" s="63"/>
      <c r="E39" s="373">
        <v>9649328</v>
      </c>
      <c r="F39" s="375">
        <f>G39-E39</f>
        <v>-54888.545654745772</v>
      </c>
      <c r="G39" s="374">
        <f>Summary!O45</f>
        <v>9594439.4543452542</v>
      </c>
    </row>
    <row r="40" spans="2:7" x14ac:dyDescent="0.2">
      <c r="B40" s="371"/>
      <c r="C40" s="382" t="s">
        <v>133</v>
      </c>
      <c r="D40" s="63"/>
      <c r="E40" s="373">
        <v>25898</v>
      </c>
      <c r="F40" s="375">
        <f>G40-E40</f>
        <v>-147.25079318859935</v>
      </c>
      <c r="G40" s="374">
        <f>Summary!O46</f>
        <v>25750.749206811401</v>
      </c>
    </row>
    <row r="41" spans="2:7" x14ac:dyDescent="0.2">
      <c r="B41" s="371"/>
      <c r="C41" s="63"/>
      <c r="D41" s="63"/>
      <c r="E41" s="373"/>
      <c r="F41" s="373" t="s">
        <v>295</v>
      </c>
      <c r="G41" s="372"/>
    </row>
    <row r="42" spans="2:7" x14ac:dyDescent="0.2">
      <c r="B42" s="383" t="s">
        <v>108</v>
      </c>
      <c r="C42" s="63"/>
      <c r="D42" s="63"/>
      <c r="E42" s="373"/>
      <c r="F42" s="373" t="s">
        <v>295</v>
      </c>
      <c r="G42" s="372"/>
    </row>
    <row r="43" spans="2:7" x14ac:dyDescent="0.2">
      <c r="B43" s="371"/>
      <c r="C43" s="63" t="s">
        <v>306</v>
      </c>
      <c r="D43" s="63"/>
      <c r="E43" s="373">
        <v>2</v>
      </c>
      <c r="F43" s="373">
        <f>G43-E43</f>
        <v>0</v>
      </c>
      <c r="G43" s="374">
        <f>Summary!O53</f>
        <v>2</v>
      </c>
    </row>
    <row r="44" spans="2:7" x14ac:dyDescent="0.2">
      <c r="B44" s="371"/>
      <c r="C44" s="382" t="s">
        <v>132</v>
      </c>
      <c r="D44" s="63"/>
      <c r="E44" s="373">
        <v>43430869</v>
      </c>
      <c r="F44" s="373">
        <f>G44-E44</f>
        <v>-0.36279676854610443</v>
      </c>
      <c r="G44" s="374">
        <f>Summary!O54</f>
        <v>43430868.637203231</v>
      </c>
    </row>
    <row r="45" spans="2:7" x14ac:dyDescent="0.2">
      <c r="B45" s="371"/>
      <c r="C45" s="382" t="s">
        <v>133</v>
      </c>
      <c r="D45" s="63"/>
      <c r="E45" s="373">
        <v>90564</v>
      </c>
      <c r="F45" s="373">
        <f>G45-E45</f>
        <v>0.37719290863606147</v>
      </c>
      <c r="G45" s="374">
        <f>Summary!O55</f>
        <v>90564.377192908636</v>
      </c>
    </row>
    <row r="46" spans="2:7" x14ac:dyDescent="0.2">
      <c r="B46" s="371"/>
      <c r="C46" s="63" t="s">
        <v>295</v>
      </c>
      <c r="D46" s="63"/>
      <c r="E46" s="373" t="s">
        <v>295</v>
      </c>
      <c r="F46" s="373" t="s">
        <v>295</v>
      </c>
      <c r="G46" s="372"/>
    </row>
    <row r="47" spans="2:7" x14ac:dyDescent="0.2">
      <c r="B47" s="383" t="s">
        <v>12</v>
      </c>
      <c r="C47" s="63" t="s">
        <v>313</v>
      </c>
      <c r="D47" s="63"/>
      <c r="E47" s="373">
        <f>E6+E10+E14+E19+E24+E34+E38+E43+E29</f>
        <v>67115</v>
      </c>
      <c r="F47" s="373">
        <f>G47-E47</f>
        <v>8.9214975450886413E-3</v>
      </c>
      <c r="G47" s="374">
        <f>G6+G10+G14+G19+G24+G34+G38+G43+G29</f>
        <v>67115.008921497545</v>
      </c>
    </row>
    <row r="48" spans="2:7" x14ac:dyDescent="0.2">
      <c r="B48" s="371"/>
      <c r="C48" s="63" t="s">
        <v>132</v>
      </c>
      <c r="D48" s="63"/>
      <c r="E48" s="373">
        <f>E7+E11+E15+E20+E25+E30+E35+E39+E44</f>
        <v>1511025840</v>
      </c>
      <c r="F48" s="373">
        <f>G48-E48</f>
        <v>8885050.7192389965</v>
      </c>
      <c r="G48" s="374">
        <f>G7+G11+G15+G20+G25+G30+G35+G39+G44</f>
        <v>1519910890.719239</v>
      </c>
    </row>
    <row r="49" spans="2:7" ht="13.5" thickBot="1" x14ac:dyDescent="0.25">
      <c r="B49" s="376"/>
      <c r="C49" s="377" t="s">
        <v>133</v>
      </c>
      <c r="D49" s="377"/>
      <c r="E49" s="378">
        <f>E16+E21+E26+E31+E40+E45</f>
        <v>2380801</v>
      </c>
      <c r="F49" s="378">
        <f>G49-E49</f>
        <v>5240.3510180916637</v>
      </c>
      <c r="G49" s="379">
        <f>G16+G21+G26+G31+G40+G45</f>
        <v>2386041.3510180917</v>
      </c>
    </row>
    <row r="50" spans="2:7" x14ac:dyDescent="0.2">
      <c r="F50" s="61" t="s">
        <v>295</v>
      </c>
    </row>
    <row r="51" spans="2:7" x14ac:dyDescent="0.2">
      <c r="F51" s="61" t="s">
        <v>295</v>
      </c>
    </row>
  </sheetData>
  <mergeCells count="3">
    <mergeCell ref="E2:E3"/>
    <mergeCell ref="G2:G3"/>
    <mergeCell ref="F2:F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70" workbookViewId="0">
      <selection activeCell="D11" sqref="D1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66" t="s">
        <v>289</v>
      </c>
      <c r="C2" s="467"/>
      <c r="D2" s="467"/>
      <c r="E2" s="468"/>
    </row>
    <row r="3" spans="2:12" x14ac:dyDescent="0.2">
      <c r="B3" s="350" t="s">
        <v>288</v>
      </c>
      <c r="C3" s="88" t="s">
        <v>132</v>
      </c>
      <c r="D3" s="88" t="s">
        <v>133</v>
      </c>
      <c r="E3" s="88" t="s">
        <v>134</v>
      </c>
    </row>
    <row r="4" spans="2:12" x14ac:dyDescent="0.2">
      <c r="B4" s="132" t="s">
        <v>1</v>
      </c>
      <c r="C4" s="133">
        <f>Summary!N17</f>
        <v>403188540.92166173</v>
      </c>
      <c r="D4" s="134"/>
      <c r="E4" s="336">
        <v>0.9224</v>
      </c>
    </row>
    <row r="5" spans="2:12" x14ac:dyDescent="0.2">
      <c r="B5" s="132" t="s">
        <v>301</v>
      </c>
      <c r="C5" s="133">
        <f>Summary!N21</f>
        <v>158300277.92936057</v>
      </c>
      <c r="D5" s="134"/>
      <c r="E5" s="336">
        <v>0.85560000000000003</v>
      </c>
    </row>
    <row r="6" spans="2:12" x14ac:dyDescent="0.2">
      <c r="B6" s="132" t="s">
        <v>302</v>
      </c>
      <c r="C6" s="133">
        <f>Summary!N25</f>
        <v>438308861.57751542</v>
      </c>
      <c r="D6" s="135">
        <f>Summary!N26</f>
        <v>1245571.5748493606</v>
      </c>
      <c r="E6" s="336">
        <v>0.32790000000000002</v>
      </c>
    </row>
    <row r="7" spans="2:12" x14ac:dyDescent="0.2">
      <c r="B7" s="132" t="s">
        <v>303</v>
      </c>
      <c r="C7" s="133">
        <f>Summary!N30</f>
        <v>224487825.83876389</v>
      </c>
      <c r="D7" s="135">
        <f>Summary!N31</f>
        <v>533990.28943076567</v>
      </c>
      <c r="E7" s="336">
        <v>0</v>
      </c>
      <c r="L7" s="136"/>
    </row>
    <row r="8" spans="2:12" x14ac:dyDescent="0.2">
      <c r="B8" s="132" t="s">
        <v>163</v>
      </c>
      <c r="C8" s="133">
        <f>Summary!N35</f>
        <v>204337521.74348557</v>
      </c>
      <c r="D8" s="135">
        <f>Summary!N36</f>
        <v>423390.54069697933</v>
      </c>
      <c r="E8" s="336">
        <v>0</v>
      </c>
    </row>
    <row r="9" spans="2:12" x14ac:dyDescent="0.2">
      <c r="B9" s="132" t="s">
        <v>83</v>
      </c>
      <c r="C9" s="133">
        <f>Summary!N45</f>
        <v>9630507.6141368318</v>
      </c>
      <c r="D9" s="135">
        <f>Summary!N46</f>
        <v>25847.553417371451</v>
      </c>
      <c r="E9" s="336">
        <v>0</v>
      </c>
    </row>
    <row r="10" spans="2:12" x14ac:dyDescent="0.2">
      <c r="B10" s="132" t="s">
        <v>2</v>
      </c>
      <c r="C10" s="133">
        <f>Summary!N50</f>
        <v>1878439.9969108163</v>
      </c>
      <c r="D10" s="135"/>
      <c r="E10" s="336">
        <v>0.998</v>
      </c>
    </row>
    <row r="11" spans="2:12" x14ac:dyDescent="0.2">
      <c r="B11" s="132" t="s">
        <v>304</v>
      </c>
      <c r="C11" s="133">
        <f>Summary!N54-Summary!N11</f>
        <v>12809530.880362753</v>
      </c>
      <c r="D11" s="135">
        <f>Summary!N55*0.3</f>
        <v>27591.392499184887</v>
      </c>
      <c r="E11" s="336">
        <v>0</v>
      </c>
    </row>
    <row r="12" spans="2:12" x14ac:dyDescent="0.2">
      <c r="B12" s="137" t="s">
        <v>135</v>
      </c>
      <c r="C12" s="138">
        <f>SUM(C4:C11)</f>
        <v>1452941506.5021975</v>
      </c>
      <c r="D12" s="138">
        <f>SUM(D4:D11)</f>
        <v>2256391.3508936618</v>
      </c>
      <c r="E12" s="138"/>
      <c r="I12" s="61"/>
    </row>
    <row r="13" spans="2:12" x14ac:dyDescent="0.2">
      <c r="C13" s="61"/>
      <c r="D13" s="61"/>
    </row>
    <row r="15" spans="2:12" x14ac:dyDescent="0.2">
      <c r="B15" s="337" t="s">
        <v>136</v>
      </c>
      <c r="C15" s="469" t="s">
        <v>137</v>
      </c>
      <c r="D15" s="471" t="s">
        <v>138</v>
      </c>
      <c r="E15" s="473">
        <v>2013</v>
      </c>
      <c r="F15" s="474"/>
      <c r="G15" s="475"/>
    </row>
    <row r="16" spans="2:12" x14ac:dyDescent="0.2">
      <c r="B16" s="338" t="s">
        <v>139</v>
      </c>
      <c r="C16" s="470"/>
      <c r="D16" s="472"/>
      <c r="E16" s="461"/>
      <c r="F16" s="462"/>
      <c r="G16" s="463"/>
    </row>
    <row r="17" spans="2:10" x14ac:dyDescent="0.2">
      <c r="B17" s="75" t="str">
        <f>B4</f>
        <v xml:space="preserve">Residential </v>
      </c>
      <c r="C17" s="133">
        <f>C4*E4</f>
        <v>371901110.14614075</v>
      </c>
      <c r="D17" s="140">
        <v>1.0286</v>
      </c>
      <c r="E17" s="141">
        <f t="shared" ref="E17:E24" si="0">C17*D17</f>
        <v>382537481.89632034</v>
      </c>
      <c r="F17" s="142">
        <v>8.3949999999999997E-2</v>
      </c>
      <c r="G17" s="143">
        <f t="shared" ref="G17:G24" si="1">E17*F17</f>
        <v>32114021.605196092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135441717.79636091</v>
      </c>
      <c r="D18" s="140">
        <v>1.0286</v>
      </c>
      <c r="E18" s="141">
        <f t="shared" si="0"/>
        <v>139315350.92533684</v>
      </c>
      <c r="F18" s="142">
        <v>8.3949999999999997E-2</v>
      </c>
      <c r="G18" s="143">
        <f t="shared" si="1"/>
        <v>11695523.710182028</v>
      </c>
    </row>
    <row r="19" spans="2:10" x14ac:dyDescent="0.2">
      <c r="B19" s="75" t="str">
        <f t="shared" si="2"/>
        <v>General Service &gt; 50 to 999 kW</v>
      </c>
      <c r="C19" s="133">
        <f t="shared" si="3"/>
        <v>143721475.71126732</v>
      </c>
      <c r="D19" s="140">
        <v>1.0286</v>
      </c>
      <c r="E19" s="141">
        <f t="shared" si="0"/>
        <v>147831909.91660956</v>
      </c>
      <c r="F19" s="142">
        <v>8.3949999999999997E-2</v>
      </c>
      <c r="G19" s="143">
        <f t="shared" si="1"/>
        <v>12410488.837499371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1874683.1169169946</v>
      </c>
      <c r="D23" s="140">
        <v>1.0286</v>
      </c>
      <c r="E23" s="141">
        <f t="shared" si="0"/>
        <v>1928299.0540608205</v>
      </c>
      <c r="F23" s="142">
        <v>8.3949999999999997E-2</v>
      </c>
      <c r="G23" s="143">
        <f t="shared" si="1"/>
        <v>161880.70558840586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135</v>
      </c>
      <c r="C25" s="138">
        <f>SUM(C17:C24)</f>
        <v>652938986.77068603</v>
      </c>
      <c r="D25" s="139"/>
      <c r="E25" s="138">
        <f>SUM(E17:E24)</f>
        <v>671613041.79232752</v>
      </c>
      <c r="F25" s="144"/>
      <c r="G25" s="145">
        <f>SUM(G17:G24)</f>
        <v>56381914.858465903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37" t="s">
        <v>140</v>
      </c>
      <c r="C27" s="469" t="s">
        <v>137</v>
      </c>
      <c r="D27" s="471" t="s">
        <v>138</v>
      </c>
      <c r="E27" s="473">
        <v>2013</v>
      </c>
      <c r="F27" s="474"/>
      <c r="G27" s="475"/>
    </row>
    <row r="28" spans="2:10" x14ac:dyDescent="0.2">
      <c r="B28" s="338" t="s">
        <v>141</v>
      </c>
      <c r="C28" s="470"/>
      <c r="D28" s="472"/>
      <c r="E28" s="461"/>
      <c r="F28" s="462"/>
      <c r="G28" s="463"/>
    </row>
    <row r="29" spans="2:10" x14ac:dyDescent="0.2">
      <c r="B29" s="75" t="str">
        <f>B17</f>
        <v xml:space="preserve">Residential </v>
      </c>
      <c r="C29" s="133">
        <f>C4-C17</f>
        <v>31287430.77552098</v>
      </c>
      <c r="D29" s="134">
        <f>D17</f>
        <v>1.0286</v>
      </c>
      <c r="E29" s="141">
        <f t="shared" ref="E29:E36" si="4">C29*D29</f>
        <v>32182251.295700878</v>
      </c>
      <c r="F29" s="142">
        <v>8.5449999999999998E-2</v>
      </c>
      <c r="G29" s="143">
        <f t="shared" ref="G29:G36" si="5">E29*F29</f>
        <v>2749973.37321764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22858560.132999659</v>
      </c>
      <c r="D30" s="134">
        <f t="shared" ref="D30:D36" si="8">D18</f>
        <v>1.0286</v>
      </c>
      <c r="E30" s="141">
        <f t="shared" si="4"/>
        <v>23512314.952803448</v>
      </c>
      <c r="F30" s="142">
        <f>F29</f>
        <v>8.5449999999999998E-2</v>
      </c>
      <c r="G30" s="143">
        <f t="shared" si="5"/>
        <v>2009127.3127170545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294587385.86624813</v>
      </c>
      <c r="D31" s="134">
        <f t="shared" si="8"/>
        <v>1.0286</v>
      </c>
      <c r="E31" s="141">
        <f t="shared" si="4"/>
        <v>303012585.10202283</v>
      </c>
      <c r="F31" s="142">
        <f>F29</f>
        <v>8.5449999999999998E-2</v>
      </c>
      <c r="G31" s="143">
        <f t="shared" si="5"/>
        <v>25892425.396967851</v>
      </c>
    </row>
    <row r="32" spans="2:10" x14ac:dyDescent="0.2">
      <c r="B32" s="75" t="str">
        <f t="shared" si="6"/>
        <v>General Service &gt; 1000 to 4999 kW</v>
      </c>
      <c r="C32" s="133">
        <f t="shared" si="7"/>
        <v>224487825.83876389</v>
      </c>
      <c r="D32" s="134">
        <f t="shared" si="8"/>
        <v>1.0286</v>
      </c>
      <c r="E32" s="141">
        <f t="shared" si="4"/>
        <v>230908177.65775254</v>
      </c>
      <c r="F32" s="142">
        <f>F29</f>
        <v>8.5449999999999998E-2</v>
      </c>
      <c r="G32" s="143">
        <f t="shared" si="5"/>
        <v>19731103.780854955</v>
      </c>
    </row>
    <row r="33" spans="2:9" x14ac:dyDescent="0.2">
      <c r="B33" s="75" t="str">
        <f t="shared" si="6"/>
        <v>Large User</v>
      </c>
      <c r="C33" s="133">
        <f t="shared" si="7"/>
        <v>204337521.74348557</v>
      </c>
      <c r="D33" s="134">
        <f t="shared" si="8"/>
        <v>1.0003</v>
      </c>
      <c r="E33" s="141">
        <f t="shared" si="4"/>
        <v>204398823.00000861</v>
      </c>
      <c r="F33" s="142">
        <f>F29</f>
        <v>8.5449999999999998E-2</v>
      </c>
      <c r="G33" s="143">
        <f t="shared" si="5"/>
        <v>17465879.425350737</v>
      </c>
    </row>
    <row r="34" spans="2:9" x14ac:dyDescent="0.2">
      <c r="B34" s="75" t="str">
        <f t="shared" si="6"/>
        <v>Street Lights</v>
      </c>
      <c r="C34" s="133">
        <f t="shared" si="7"/>
        <v>9630507.6141368318</v>
      </c>
      <c r="D34" s="134">
        <f t="shared" si="8"/>
        <v>1.0286</v>
      </c>
      <c r="E34" s="141">
        <f t="shared" si="4"/>
        <v>9905940.131901145</v>
      </c>
      <c r="F34" s="142">
        <f>F29</f>
        <v>8.5449999999999998E-2</v>
      </c>
      <c r="G34" s="143">
        <f t="shared" si="5"/>
        <v>846462.58427095285</v>
      </c>
    </row>
    <row r="35" spans="2:9" x14ac:dyDescent="0.2">
      <c r="B35" s="75" t="str">
        <f t="shared" si="6"/>
        <v xml:space="preserve">Unmetered Loads </v>
      </c>
      <c r="C35" s="133">
        <f t="shared" si="7"/>
        <v>3756.8799938217271</v>
      </c>
      <c r="D35" s="134">
        <f t="shared" si="8"/>
        <v>1.0286</v>
      </c>
      <c r="E35" s="141">
        <f t="shared" si="4"/>
        <v>3864.3267616450285</v>
      </c>
      <c r="F35" s="142">
        <f>F29</f>
        <v>8.5449999999999998E-2</v>
      </c>
      <c r="G35" s="143">
        <f t="shared" si="5"/>
        <v>330.20672178256768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12809530.880362753</v>
      </c>
      <c r="D36" s="134">
        <f t="shared" si="8"/>
        <v>1.0286</v>
      </c>
      <c r="E36" s="141">
        <f t="shared" si="4"/>
        <v>13175883.463541128</v>
      </c>
      <c r="F36" s="142">
        <f>F29</f>
        <v>8.5449999999999998E-2</v>
      </c>
      <c r="G36" s="143">
        <f t="shared" si="5"/>
        <v>1125879.2419595893</v>
      </c>
    </row>
    <row r="37" spans="2:9" x14ac:dyDescent="0.2">
      <c r="B37" s="137" t="s">
        <v>135</v>
      </c>
      <c r="C37" s="138">
        <f>SUM(C29:C36)</f>
        <v>800002519.73151159</v>
      </c>
      <c r="D37" s="139"/>
      <c r="E37" s="138">
        <f>SUM(E29:E36)</f>
        <v>817099839.93049216</v>
      </c>
      <c r="F37" s="144"/>
      <c r="G37" s="145">
        <f>SUM(G29:G36)</f>
        <v>69821181.322060555</v>
      </c>
    </row>
    <row r="39" spans="2:9" x14ac:dyDescent="0.2">
      <c r="B39" s="339" t="s">
        <v>142</v>
      </c>
      <c r="C39" s="340"/>
      <c r="D39" s="341" t="s">
        <v>143</v>
      </c>
      <c r="E39" s="342"/>
      <c r="F39" s="343"/>
      <c r="G39" s="340"/>
    </row>
    <row r="40" spans="2:9" x14ac:dyDescent="0.2">
      <c r="B40" s="338" t="s">
        <v>141</v>
      </c>
      <c r="C40" s="356"/>
      <c r="D40" s="344" t="s">
        <v>144</v>
      </c>
      <c r="E40" s="461">
        <v>2013</v>
      </c>
      <c r="F40" s="462"/>
      <c r="G40" s="463"/>
    </row>
    <row r="41" spans="2:9" x14ac:dyDescent="0.2">
      <c r="B41" s="151" t="str">
        <f>B29</f>
        <v xml:space="preserve">Residential </v>
      </c>
      <c r="C41" s="141"/>
      <c r="D41" s="152" t="s">
        <v>132</v>
      </c>
      <c r="E41" s="141">
        <f>E17+E29</f>
        <v>414719733.19202125</v>
      </c>
      <c r="F41" s="153">
        <v>6.1999999999999998E-3</v>
      </c>
      <c r="G41" s="143">
        <f t="shared" ref="G41:G48" si="9">E41*F41</f>
        <v>2571262.3457905315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132</v>
      </c>
      <c r="E42" s="141">
        <f>E18+E30</f>
        <v>162827665.87814027</v>
      </c>
      <c r="F42" s="153">
        <v>5.4000000000000003E-3</v>
      </c>
      <c r="G42" s="143">
        <f t="shared" si="9"/>
        <v>879269.39574195747</v>
      </c>
    </row>
    <row r="43" spans="2:9" x14ac:dyDescent="0.2">
      <c r="B43" s="151" t="str">
        <f t="shared" si="10"/>
        <v>General Service &gt; 50 to 999 kW</v>
      </c>
      <c r="C43" s="141"/>
      <c r="D43" s="152" t="s">
        <v>133</v>
      </c>
      <c r="E43" s="141">
        <f>D6</f>
        <v>1245571.5748493606</v>
      </c>
      <c r="F43" s="153">
        <v>3.5124</v>
      </c>
      <c r="G43" s="143">
        <f t="shared" si="9"/>
        <v>4374945.5995008945</v>
      </c>
    </row>
    <row r="44" spans="2:9" x14ac:dyDescent="0.2">
      <c r="B44" s="151" t="str">
        <f t="shared" si="10"/>
        <v>General Service &gt; 1000 to 4999 kW</v>
      </c>
      <c r="C44" s="141"/>
      <c r="D44" s="152" t="s">
        <v>133</v>
      </c>
      <c r="E44" s="141">
        <f>D7</f>
        <v>533990.28943076567</v>
      </c>
      <c r="F44" s="153">
        <v>2.6676000000000002</v>
      </c>
      <c r="G44" s="143">
        <f t="shared" si="9"/>
        <v>1424472.4960855106</v>
      </c>
      <c r="I44" s="32"/>
    </row>
    <row r="45" spans="2:9" x14ac:dyDescent="0.2">
      <c r="B45" s="151" t="str">
        <f t="shared" si="10"/>
        <v>Large User</v>
      </c>
      <c r="C45" s="141"/>
      <c r="D45" s="152" t="s">
        <v>133</v>
      </c>
      <c r="E45" s="141">
        <f>D8</f>
        <v>423390.54069697933</v>
      </c>
      <c r="F45" s="153">
        <v>2.5278999999999998</v>
      </c>
      <c r="G45" s="143">
        <f t="shared" si="9"/>
        <v>1070288.947827894</v>
      </c>
    </row>
    <row r="46" spans="2:9" x14ac:dyDescent="0.2">
      <c r="B46" s="151" t="str">
        <f t="shared" si="10"/>
        <v>Street Lights</v>
      </c>
      <c r="C46" s="141"/>
      <c r="D46" s="152" t="s">
        <v>133</v>
      </c>
      <c r="E46" s="141">
        <f>D9</f>
        <v>25847.553417371451</v>
      </c>
      <c r="F46" s="153">
        <v>1.7650999999999999</v>
      </c>
      <c r="G46" s="143">
        <f t="shared" si="9"/>
        <v>45623.516537002346</v>
      </c>
    </row>
    <row r="47" spans="2:9" x14ac:dyDescent="0.2">
      <c r="B47" s="151" t="str">
        <f>B35</f>
        <v xml:space="preserve">Unmetered Loads </v>
      </c>
      <c r="C47" s="141"/>
      <c r="D47" s="152" t="s">
        <v>132</v>
      </c>
      <c r="E47" s="141">
        <f>E35</f>
        <v>3864.3267616450285</v>
      </c>
      <c r="F47" s="153">
        <v>5.4000000000000003E-3</v>
      </c>
      <c r="G47" s="143">
        <f t="shared" si="9"/>
        <v>20.867364512883153</v>
      </c>
    </row>
    <row r="48" spans="2:9" x14ac:dyDescent="0.2">
      <c r="B48" s="151" t="str">
        <f t="shared" si="10"/>
        <v>Embedded Distributors - Hydro One</v>
      </c>
      <c r="C48" s="141"/>
      <c r="D48" s="152" t="s">
        <v>133</v>
      </c>
      <c r="E48" s="141">
        <f>D11</f>
        <v>27591.392499184887</v>
      </c>
      <c r="F48" s="153">
        <v>2.5278999999999998</v>
      </c>
      <c r="G48" s="143">
        <f t="shared" si="9"/>
        <v>69748.281098689476</v>
      </c>
    </row>
    <row r="49" spans="2:7" x14ac:dyDescent="0.2">
      <c r="B49" s="137" t="s">
        <v>135</v>
      </c>
      <c r="C49" s="138"/>
      <c r="D49" s="139"/>
      <c r="E49" s="138"/>
      <c r="F49" s="144"/>
      <c r="G49" s="154">
        <f>SUM(G41:G48)</f>
        <v>10435631.449946994</v>
      </c>
    </row>
    <row r="51" spans="2:7" x14ac:dyDescent="0.2">
      <c r="B51" s="339" t="s">
        <v>145</v>
      </c>
      <c r="C51" s="340"/>
      <c r="D51" s="345" t="s">
        <v>143</v>
      </c>
      <c r="E51" s="342"/>
      <c r="F51" s="343"/>
      <c r="G51" s="340"/>
    </row>
    <row r="52" spans="2:7" x14ac:dyDescent="0.2">
      <c r="B52" s="338" t="s">
        <v>141</v>
      </c>
      <c r="C52" s="356"/>
      <c r="D52" s="346" t="s">
        <v>144</v>
      </c>
      <c r="E52" s="461">
        <v>2013</v>
      </c>
      <c r="F52" s="462"/>
      <c r="G52" s="463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414719733.19202125</v>
      </c>
      <c r="F53" s="153">
        <v>3.5999999999999999E-3</v>
      </c>
      <c r="G53" s="143">
        <f t="shared" ref="G53:G60" si="11">E53*F53</f>
        <v>1492991.0394912765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162827665.87814027</v>
      </c>
      <c r="F54" s="153">
        <v>3.3999999999999998E-3</v>
      </c>
      <c r="G54" s="143">
        <f t="shared" si="11"/>
        <v>553614.06398567685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1245571.5748493606</v>
      </c>
      <c r="F55" s="153">
        <v>2.0762999999999998</v>
      </c>
      <c r="G55" s="143">
        <f t="shared" si="11"/>
        <v>2586180.2608597274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533990.28943076567</v>
      </c>
      <c r="F56" s="153">
        <v>1.6294999999999999</v>
      </c>
      <c r="G56" s="143">
        <f t="shared" si="11"/>
        <v>870137.17662743258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423390.54069697933</v>
      </c>
      <c r="F57" s="153">
        <v>1.6586000000000001</v>
      </c>
      <c r="G57" s="143">
        <f t="shared" si="11"/>
        <v>702235.55080000998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25847.553417371451</v>
      </c>
      <c r="F58" s="153">
        <v>1.0434000000000001</v>
      </c>
      <c r="G58" s="143">
        <f t="shared" si="11"/>
        <v>26969.337235685376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3864.3267616450285</v>
      </c>
      <c r="F59" s="153">
        <v>3.3999999999999998E-3</v>
      </c>
      <c r="G59" s="143">
        <f t="shared" si="11"/>
        <v>13.138710989593095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27591.392499184887</v>
      </c>
      <c r="F60" s="153">
        <v>1.6586000000000001</v>
      </c>
      <c r="G60" s="143">
        <f t="shared" si="11"/>
        <v>45763.083599148056</v>
      </c>
    </row>
    <row r="61" spans="2:7" x14ac:dyDescent="0.2">
      <c r="B61" s="137" t="s">
        <v>135</v>
      </c>
      <c r="C61" s="138"/>
      <c r="D61" s="139"/>
      <c r="E61" s="138"/>
      <c r="F61" s="144"/>
      <c r="G61" s="154">
        <f>SUM(G53:G60)</f>
        <v>6277903.6513099466</v>
      </c>
    </row>
    <row r="63" spans="2:7" x14ac:dyDescent="0.2">
      <c r="B63" s="339" t="s">
        <v>146</v>
      </c>
      <c r="C63" s="340"/>
      <c r="D63" s="345"/>
      <c r="E63" s="342"/>
      <c r="F63" s="343"/>
      <c r="G63" s="340"/>
    </row>
    <row r="64" spans="2:7" x14ac:dyDescent="0.2">
      <c r="B64" s="338" t="s">
        <v>141</v>
      </c>
      <c r="C64" s="356"/>
      <c r="D64" s="346"/>
      <c r="E64" s="461">
        <v>2013</v>
      </c>
      <c r="F64" s="462"/>
      <c r="G64" s="464"/>
    </row>
    <row r="65" spans="2:7" x14ac:dyDescent="0.2">
      <c r="B65" s="151" t="str">
        <f>B53</f>
        <v xml:space="preserve">Residential </v>
      </c>
      <c r="C65" s="141"/>
      <c r="D65" s="152" t="s">
        <v>132</v>
      </c>
      <c r="E65" s="141">
        <f>E17+E29</f>
        <v>414719733.19202125</v>
      </c>
      <c r="F65" s="153">
        <v>4.4000000000000003E-3</v>
      </c>
      <c r="G65" s="143">
        <f t="shared" ref="G65:G72" si="14">E65*F65</f>
        <v>1824766.8260448936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132</v>
      </c>
      <c r="E66" s="141">
        <f t="shared" ref="E66:E72" si="16">E18+E30</f>
        <v>162827665.87814027</v>
      </c>
      <c r="F66" s="153">
        <v>4.4000000000000003E-3</v>
      </c>
      <c r="G66" s="143">
        <f t="shared" si="14"/>
        <v>716441.72986381722</v>
      </c>
    </row>
    <row r="67" spans="2:7" x14ac:dyDescent="0.2">
      <c r="B67" s="151" t="str">
        <f t="shared" si="15"/>
        <v>General Service &gt; 50 to 999 kW</v>
      </c>
      <c r="C67" s="141"/>
      <c r="D67" s="152" t="s">
        <v>132</v>
      </c>
      <c r="E67" s="141">
        <f t="shared" si="16"/>
        <v>450844495.01863241</v>
      </c>
      <c r="F67" s="153">
        <v>4.4000000000000003E-3</v>
      </c>
      <c r="G67" s="143">
        <f t="shared" si="14"/>
        <v>1983715.7780819826</v>
      </c>
    </row>
    <row r="68" spans="2:7" x14ac:dyDescent="0.2">
      <c r="B68" s="151" t="str">
        <f t="shared" si="15"/>
        <v>General Service &gt; 1000 to 4999 kW</v>
      </c>
      <c r="C68" s="141"/>
      <c r="D68" s="152" t="s">
        <v>132</v>
      </c>
      <c r="E68" s="141">
        <f t="shared" si="16"/>
        <v>230908177.65775254</v>
      </c>
      <c r="F68" s="153">
        <v>4.4000000000000003E-3</v>
      </c>
      <c r="G68" s="143">
        <f t="shared" si="14"/>
        <v>1015995.9816941113</v>
      </c>
    </row>
    <row r="69" spans="2:7" x14ac:dyDescent="0.2">
      <c r="B69" s="151" t="str">
        <f t="shared" si="15"/>
        <v>Large User</v>
      </c>
      <c r="C69" s="141"/>
      <c r="D69" s="152" t="s">
        <v>132</v>
      </c>
      <c r="E69" s="141">
        <f t="shared" si="16"/>
        <v>204398823.00000861</v>
      </c>
      <c r="F69" s="153">
        <v>4.4000000000000003E-3</v>
      </c>
      <c r="G69" s="143">
        <f t="shared" si="14"/>
        <v>899354.82120003796</v>
      </c>
    </row>
    <row r="70" spans="2:7" x14ac:dyDescent="0.2">
      <c r="B70" s="151" t="str">
        <f t="shared" si="15"/>
        <v>Street Lights</v>
      </c>
      <c r="C70" s="141"/>
      <c r="D70" s="152" t="s">
        <v>132</v>
      </c>
      <c r="E70" s="141">
        <f t="shared" si="16"/>
        <v>9905940.131901145</v>
      </c>
      <c r="F70" s="153">
        <v>4.4000000000000003E-3</v>
      </c>
      <c r="G70" s="143">
        <f t="shared" si="14"/>
        <v>43586.136580365041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132</v>
      </c>
      <c r="E71" s="141">
        <f t="shared" si="16"/>
        <v>1932163.3808224655</v>
      </c>
      <c r="F71" s="153">
        <v>4.4000000000000003E-3</v>
      </c>
      <c r="G71" s="143">
        <f t="shared" si="14"/>
        <v>8501.5188756188491</v>
      </c>
    </row>
    <row r="72" spans="2:7" x14ac:dyDescent="0.2">
      <c r="B72" s="151" t="str">
        <f t="shared" si="15"/>
        <v>Embedded Distributors - Hydro One</v>
      </c>
      <c r="C72" s="141"/>
      <c r="D72" s="152" t="s">
        <v>132</v>
      </c>
      <c r="E72" s="141">
        <f t="shared" si="16"/>
        <v>13175883.463541128</v>
      </c>
      <c r="F72" s="153">
        <v>0</v>
      </c>
      <c r="G72" s="143">
        <f t="shared" si="14"/>
        <v>0</v>
      </c>
    </row>
    <row r="73" spans="2:7" x14ac:dyDescent="0.2">
      <c r="B73" s="137" t="s">
        <v>135</v>
      </c>
      <c r="C73" s="138"/>
      <c r="D73" s="139"/>
      <c r="E73" s="138">
        <f>SUM(E65:E72)</f>
        <v>1488712881.7228196</v>
      </c>
      <c r="F73" s="144"/>
      <c r="G73" s="154">
        <f>SUM(G65:G72)</f>
        <v>6492362.7923408262</v>
      </c>
    </row>
    <row r="75" spans="2:7" x14ac:dyDescent="0.2">
      <c r="B75" s="339" t="s">
        <v>147</v>
      </c>
      <c r="C75" s="340"/>
      <c r="D75" s="345"/>
      <c r="E75" s="342"/>
      <c r="F75" s="343"/>
      <c r="G75" s="340"/>
    </row>
    <row r="76" spans="2:7" x14ac:dyDescent="0.2">
      <c r="B76" s="338" t="s">
        <v>141</v>
      </c>
      <c r="C76" s="356"/>
      <c r="D76" s="346"/>
      <c r="E76" s="465">
        <v>2013</v>
      </c>
      <c r="F76" s="462"/>
      <c r="G76" s="463"/>
    </row>
    <row r="77" spans="2:7" x14ac:dyDescent="0.2">
      <c r="B77" s="151" t="str">
        <f>B65</f>
        <v xml:space="preserve">Residential </v>
      </c>
      <c r="C77" s="141"/>
      <c r="D77" s="152" t="s">
        <v>132</v>
      </c>
      <c r="E77" s="141">
        <f>E65</f>
        <v>414719733.19202125</v>
      </c>
      <c r="F77" s="153">
        <v>1.1999999999999999E-3</v>
      </c>
      <c r="G77" s="143">
        <f t="shared" ref="G77:G84" si="17">E77*F77</f>
        <v>497663.67983042548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132</v>
      </c>
      <c r="E78" s="141">
        <f t="shared" ref="E78:E84" si="19">E66</f>
        <v>162827665.87814027</v>
      </c>
      <c r="F78" s="153">
        <v>1.1999999999999999E-3</v>
      </c>
      <c r="G78" s="143">
        <f t="shared" si="17"/>
        <v>195393.1990537683</v>
      </c>
    </row>
    <row r="79" spans="2:7" x14ac:dyDescent="0.2">
      <c r="B79" s="151" t="str">
        <f t="shared" si="18"/>
        <v>General Service &gt; 50 to 999 kW</v>
      </c>
      <c r="C79" s="141"/>
      <c r="D79" s="152" t="s">
        <v>132</v>
      </c>
      <c r="E79" s="141">
        <f t="shared" si="19"/>
        <v>450844495.01863241</v>
      </c>
      <c r="F79" s="153">
        <v>1.1999999999999999E-3</v>
      </c>
      <c r="G79" s="143">
        <f t="shared" si="17"/>
        <v>541013.39402235881</v>
      </c>
    </row>
    <row r="80" spans="2:7" x14ac:dyDescent="0.2">
      <c r="B80" s="151" t="str">
        <f t="shared" si="18"/>
        <v>General Service &gt; 1000 to 4999 kW</v>
      </c>
      <c r="C80" s="141"/>
      <c r="D80" s="152" t="s">
        <v>132</v>
      </c>
      <c r="E80" s="141">
        <f t="shared" si="19"/>
        <v>230908177.65775254</v>
      </c>
      <c r="F80" s="153">
        <v>1.1999999999999999E-3</v>
      </c>
      <c r="G80" s="143">
        <f t="shared" si="17"/>
        <v>277089.81318930304</v>
      </c>
    </row>
    <row r="81" spans="2:7" x14ac:dyDescent="0.2">
      <c r="B81" s="151" t="str">
        <f t="shared" si="18"/>
        <v>Large User</v>
      </c>
      <c r="C81" s="141"/>
      <c r="D81" s="152" t="s">
        <v>132</v>
      </c>
      <c r="E81" s="141">
        <f t="shared" si="19"/>
        <v>204398823.00000861</v>
      </c>
      <c r="F81" s="153">
        <v>1.1999999999999999E-3</v>
      </c>
      <c r="G81" s="143">
        <f t="shared" si="17"/>
        <v>245278.5876000103</v>
      </c>
    </row>
    <row r="82" spans="2:7" x14ac:dyDescent="0.2">
      <c r="B82" s="151" t="str">
        <f t="shared" si="18"/>
        <v>Street Lights</v>
      </c>
      <c r="C82" s="141"/>
      <c r="D82" s="152" t="s">
        <v>132</v>
      </c>
      <c r="E82" s="141">
        <f t="shared" si="19"/>
        <v>9905940.131901145</v>
      </c>
      <c r="F82" s="153">
        <v>1.1999999999999999E-3</v>
      </c>
      <c r="G82" s="143">
        <f t="shared" si="17"/>
        <v>11887.128158281374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132</v>
      </c>
      <c r="E83" s="141">
        <f t="shared" si="19"/>
        <v>1932163.3808224655</v>
      </c>
      <c r="F83" s="153">
        <v>1.1999999999999999E-3</v>
      </c>
      <c r="G83" s="143">
        <f t="shared" si="17"/>
        <v>2318.5960569869585</v>
      </c>
    </row>
    <row r="84" spans="2:7" x14ac:dyDescent="0.2">
      <c r="B84" s="151" t="str">
        <f t="shared" si="18"/>
        <v>Embedded Distributors - Hydro One</v>
      </c>
      <c r="C84" s="141"/>
      <c r="D84" s="152" t="s">
        <v>132</v>
      </c>
      <c r="E84" s="141">
        <f t="shared" si="19"/>
        <v>13175883.463541128</v>
      </c>
      <c r="F84" s="153">
        <v>0</v>
      </c>
      <c r="G84" s="143">
        <f t="shared" si="17"/>
        <v>0</v>
      </c>
    </row>
    <row r="85" spans="2:7" x14ac:dyDescent="0.2">
      <c r="B85" s="137" t="s">
        <v>135</v>
      </c>
      <c r="C85" s="138"/>
      <c r="D85" s="139"/>
      <c r="E85" s="138">
        <f>SUM(E77:E84)</f>
        <v>1488712881.7228196</v>
      </c>
      <c r="F85" s="144"/>
      <c r="G85" s="154">
        <f>SUM(G77:G84)</f>
        <v>1770644.3979111342</v>
      </c>
    </row>
    <row r="87" spans="2:7" x14ac:dyDescent="0.2">
      <c r="B87" s="347"/>
      <c r="C87" s="348">
        <v>2013</v>
      </c>
    </row>
    <row r="88" spans="2:7" x14ac:dyDescent="0.2">
      <c r="B88" s="69"/>
      <c r="C88" s="155"/>
    </row>
    <row r="89" spans="2:7" x14ac:dyDescent="0.2">
      <c r="B89" s="62" t="s">
        <v>148</v>
      </c>
      <c r="C89" s="156">
        <f>G25+G37</f>
        <v>126203096.18052647</v>
      </c>
    </row>
    <row r="90" spans="2:7" x14ac:dyDescent="0.2">
      <c r="B90" s="62" t="s">
        <v>149</v>
      </c>
      <c r="C90" s="157">
        <f>G73</f>
        <v>6492362.7923408262</v>
      </c>
    </row>
    <row r="91" spans="2:7" x14ac:dyDescent="0.2">
      <c r="B91" s="62" t="s">
        <v>150</v>
      </c>
      <c r="C91" s="157">
        <f>G49</f>
        <v>10435631.449946994</v>
      </c>
    </row>
    <row r="92" spans="2:7" x14ac:dyDescent="0.2">
      <c r="B92" s="62" t="s">
        <v>151</v>
      </c>
      <c r="C92" s="157">
        <f>G61</f>
        <v>6277903.6513099466</v>
      </c>
    </row>
    <row r="93" spans="2:7" x14ac:dyDescent="0.2">
      <c r="B93" s="62" t="s">
        <v>152</v>
      </c>
      <c r="C93" s="157">
        <f>G85</f>
        <v>1770644.3979111342</v>
      </c>
    </row>
    <row r="94" spans="2:7" x14ac:dyDescent="0.2">
      <c r="B94" s="62" t="s">
        <v>153</v>
      </c>
      <c r="C94" s="157">
        <v>173822.49069999999</v>
      </c>
    </row>
    <row r="95" spans="2:7" x14ac:dyDescent="0.2">
      <c r="B95" s="62" t="s">
        <v>287</v>
      </c>
      <c r="C95" s="349">
        <v>360365</v>
      </c>
    </row>
    <row r="96" spans="2:7" x14ac:dyDescent="0.2">
      <c r="B96" s="78" t="s">
        <v>135</v>
      </c>
      <c r="C96" s="138">
        <f>SUM(C89:C95)</f>
        <v>151713825.96273535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abSelected="1" workbookViewId="0">
      <selection activeCell="C13" sqref="C13"/>
    </sheetView>
  </sheetViews>
  <sheetFormatPr defaultRowHeight="12.75" x14ac:dyDescent="0.2"/>
  <cols>
    <col min="1" max="1" width="1.28515625" customWidth="1"/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66" t="s">
        <v>292</v>
      </c>
      <c r="C3" s="467"/>
      <c r="D3" s="467"/>
      <c r="E3" s="468"/>
    </row>
    <row r="4" spans="2:12" x14ac:dyDescent="0.2">
      <c r="B4" s="350" t="s">
        <v>291</v>
      </c>
      <c r="C4" s="88" t="s">
        <v>132</v>
      </c>
      <c r="D4" s="88" t="s">
        <v>133</v>
      </c>
      <c r="E4" s="88" t="s">
        <v>286</v>
      </c>
      <c r="I4" t="s">
        <v>285</v>
      </c>
      <c r="J4" t="s">
        <v>282</v>
      </c>
      <c r="K4" t="s">
        <v>283</v>
      </c>
      <c r="L4" t="s">
        <v>284</v>
      </c>
    </row>
    <row r="5" spans="2:12" x14ac:dyDescent="0.2">
      <c r="B5" s="132" t="s">
        <v>1</v>
      </c>
      <c r="C5" s="133">
        <f>Summary!O17</f>
        <v>400646088.43738562</v>
      </c>
      <c r="D5" s="134"/>
      <c r="E5" s="336">
        <v>0.9224</v>
      </c>
      <c r="I5" s="335">
        <f>AVERAGE(J5:M5)</f>
        <v>0.91849275460905588</v>
      </c>
      <c r="J5" s="68">
        <v>0.91247867073598299</v>
      </c>
      <c r="K5" s="68">
        <v>0.91803750693418396</v>
      </c>
      <c r="L5" s="68">
        <v>0.92496208615700104</v>
      </c>
    </row>
    <row r="6" spans="2:12" x14ac:dyDescent="0.2">
      <c r="B6" s="132" t="s">
        <v>301</v>
      </c>
      <c r="C6" s="133">
        <f>Summary!O21</f>
        <v>155607417.2360687</v>
      </c>
      <c r="D6" s="134"/>
      <c r="E6" s="336">
        <v>0.85560000000000003</v>
      </c>
      <c r="I6" s="335">
        <f t="shared" ref="I6:I11" si="0">AVERAGE(J6:M6)</f>
        <v>0.85567634051671504</v>
      </c>
      <c r="J6" s="68">
        <v>0.86292347838315298</v>
      </c>
      <c r="K6" s="68">
        <v>0.84953567141639397</v>
      </c>
      <c r="L6" s="68">
        <v>0.85456987175059795</v>
      </c>
    </row>
    <row r="7" spans="2:12" x14ac:dyDescent="0.2">
      <c r="B7" s="132" t="s">
        <v>302</v>
      </c>
      <c r="C7" s="133">
        <f>Summary!O25</f>
        <v>434548089.30767494</v>
      </c>
      <c r="D7" s="135">
        <f>Summary!O26</f>
        <v>1234884.3370373398</v>
      </c>
      <c r="E7" s="336">
        <v>0.32790000000000002</v>
      </c>
      <c r="I7" s="335">
        <f t="shared" si="0"/>
        <v>0.3314409429986313</v>
      </c>
      <c r="J7" s="68">
        <v>0.33615327709591197</v>
      </c>
      <c r="K7" s="68">
        <v>0.32707732410457302</v>
      </c>
      <c r="L7" s="68">
        <v>0.33109222779540898</v>
      </c>
    </row>
    <row r="8" spans="2:12" x14ac:dyDescent="0.2">
      <c r="B8" s="132" t="s">
        <v>303</v>
      </c>
      <c r="C8" s="133">
        <f>Summary!O30</f>
        <v>221369806.97822428</v>
      </c>
      <c r="D8" s="135">
        <f>Summary!O31</f>
        <v>526573.44271505112</v>
      </c>
      <c r="E8" s="336">
        <v>0</v>
      </c>
      <c r="I8" s="335">
        <f t="shared" si="0"/>
        <v>0</v>
      </c>
      <c r="J8" s="68">
        <v>0</v>
      </c>
      <c r="K8" s="68">
        <v>0</v>
      </c>
      <c r="L8" s="68">
        <v>0</v>
      </c>
    </row>
    <row r="9" spans="2:12" x14ac:dyDescent="0.2">
      <c r="B9" s="132" t="s">
        <v>163</v>
      </c>
      <c r="C9" s="133">
        <f>Summary!O35</f>
        <v>207072349.00780675</v>
      </c>
      <c r="D9" s="135">
        <f>Summary!O36</f>
        <v>429057.14555874991</v>
      </c>
      <c r="E9" s="336">
        <v>0</v>
      </c>
      <c r="I9" s="335">
        <f t="shared" si="0"/>
        <v>0</v>
      </c>
      <c r="J9" s="68">
        <v>0</v>
      </c>
      <c r="K9" s="68">
        <v>0</v>
      </c>
      <c r="L9" s="68">
        <v>0</v>
      </c>
    </row>
    <row r="10" spans="2:12" x14ac:dyDescent="0.2">
      <c r="B10" s="132" t="s">
        <v>83</v>
      </c>
      <c r="C10" s="133">
        <f>Summary!O45</f>
        <v>9594439.4543452542</v>
      </c>
      <c r="D10" s="135">
        <f>Summary!O46</f>
        <v>25750.749206811401</v>
      </c>
      <c r="E10" s="336">
        <v>0</v>
      </c>
      <c r="I10" s="335">
        <f t="shared" si="0"/>
        <v>0</v>
      </c>
      <c r="J10" s="68">
        <v>0</v>
      </c>
      <c r="K10" s="68">
        <v>0</v>
      </c>
      <c r="L10" s="68">
        <v>0</v>
      </c>
    </row>
    <row r="11" spans="2:12" x14ac:dyDescent="0.2">
      <c r="B11" s="132" t="s">
        <v>2</v>
      </c>
      <c r="C11" s="133">
        <f>Summary!O50</f>
        <v>1746895.1152104537</v>
      </c>
      <c r="D11" s="135"/>
      <c r="E11" s="336">
        <v>0.998</v>
      </c>
      <c r="I11" s="335">
        <f t="shared" si="0"/>
        <v>0.99800088301519463</v>
      </c>
      <c r="J11" s="68">
        <v>0.99800657532788395</v>
      </c>
      <c r="K11" s="68">
        <v>0.99799922499823301</v>
      </c>
      <c r="L11" s="68">
        <v>0.99799684871946703</v>
      </c>
    </row>
    <row r="12" spans="2:12" x14ac:dyDescent="0.2">
      <c r="B12" s="132" t="s">
        <v>304</v>
      </c>
      <c r="C12" s="133">
        <f>Summary!O54-Summary!O11</f>
        <v>12613577.074962657</v>
      </c>
      <c r="D12" s="135">
        <f>Summary!O55*0.3</f>
        <v>27169.313157872592</v>
      </c>
      <c r="E12" s="336">
        <v>0</v>
      </c>
    </row>
    <row r="13" spans="2:12" x14ac:dyDescent="0.2">
      <c r="B13" s="137" t="s">
        <v>135</v>
      </c>
      <c r="C13" s="138">
        <f>SUM(C5:C12)</f>
        <v>1443198662.6116786</v>
      </c>
      <c r="D13" s="138">
        <f>SUM(D5:D12)</f>
        <v>2243434.9876758247</v>
      </c>
      <c r="E13" s="138"/>
    </row>
    <row r="14" spans="2:12" x14ac:dyDescent="0.2">
      <c r="C14" s="61"/>
      <c r="D14" s="61"/>
    </row>
    <row r="16" spans="2:12" x14ac:dyDescent="0.2">
      <c r="B16" s="337" t="s">
        <v>136</v>
      </c>
      <c r="C16" s="469" t="s">
        <v>154</v>
      </c>
      <c r="D16" s="471" t="s">
        <v>155</v>
      </c>
      <c r="E16" s="473">
        <v>2014</v>
      </c>
      <c r="F16" s="474"/>
      <c r="G16" s="475"/>
    </row>
    <row r="17" spans="2:15" x14ac:dyDescent="0.2">
      <c r="B17" s="338" t="s">
        <v>139</v>
      </c>
      <c r="C17" s="470"/>
      <c r="D17" s="472"/>
      <c r="E17" s="461"/>
      <c r="F17" s="462"/>
      <c r="G17" s="463"/>
    </row>
    <row r="18" spans="2:15" ht="15" x14ac:dyDescent="0.25">
      <c r="B18" s="75" t="str">
        <f>B5</f>
        <v xml:space="preserve">Residential </v>
      </c>
      <c r="C18" s="133">
        <f>C5*E5</f>
        <v>369555951.97464448</v>
      </c>
      <c r="D18" s="140">
        <v>1.0286</v>
      </c>
      <c r="E18" s="141">
        <f t="shared" ref="E18:E25" si="1">C18*D18</f>
        <v>380125252.2011193</v>
      </c>
      <c r="F18" s="357">
        <v>8.8999999999999996E-2</v>
      </c>
      <c r="G18" s="143">
        <f t="shared" ref="G18:G25" si="2">E18*F18</f>
        <v>33831147.445899613</v>
      </c>
      <c r="J18" s="358" t="s">
        <v>295</v>
      </c>
      <c r="K18" s="358"/>
      <c r="L18" s="358"/>
      <c r="M18" s="359" t="s">
        <v>295</v>
      </c>
      <c r="N18" s="360" t="s">
        <v>295</v>
      </c>
      <c r="O18" s="358" t="s">
        <v>295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133137706.18718038</v>
      </c>
      <c r="D19" s="140">
        <v>1.0286</v>
      </c>
      <c r="E19" s="141">
        <f t="shared" si="1"/>
        <v>136945444.58413374</v>
      </c>
      <c r="F19" s="357">
        <f>F18</f>
        <v>8.8999999999999996E-2</v>
      </c>
      <c r="G19" s="143">
        <f t="shared" si="2"/>
        <v>12188144.567987902</v>
      </c>
      <c r="J19" s="358" t="s">
        <v>295</v>
      </c>
      <c r="K19" s="358"/>
      <c r="L19" s="358"/>
      <c r="M19" s="359" t="s">
        <v>295</v>
      </c>
      <c r="N19" s="360" t="s">
        <v>295</v>
      </c>
      <c r="O19" s="358" t="s">
        <v>295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142488318.48398662</v>
      </c>
      <c r="D20" s="140">
        <v>1.0286</v>
      </c>
      <c r="E20" s="141">
        <f t="shared" si="1"/>
        <v>146563484.39262864</v>
      </c>
      <c r="F20" s="357">
        <f>F18</f>
        <v>8.8999999999999996E-2</v>
      </c>
      <c r="G20" s="143">
        <f t="shared" si="2"/>
        <v>13044150.110943949</v>
      </c>
      <c r="J20" s="358" t="s">
        <v>295</v>
      </c>
      <c r="K20" s="358"/>
      <c r="L20" s="358"/>
      <c r="M20" s="359" t="s">
        <v>295</v>
      </c>
      <c r="N20" s="360" t="s">
        <v>295</v>
      </c>
      <c r="O20" s="358" t="s">
        <v>295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57">
        <f>F18</f>
        <v>8.8999999999999996E-2</v>
      </c>
      <c r="G21" s="143">
        <f t="shared" si="2"/>
        <v>0</v>
      </c>
      <c r="J21" s="358"/>
      <c r="K21" s="358"/>
      <c r="L21" s="358"/>
      <c r="M21" s="358"/>
      <c r="N21" s="358"/>
      <c r="O21" s="359" t="s">
        <v>295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57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57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1743401.3249800329</v>
      </c>
      <c r="D24" s="140">
        <v>1.0286</v>
      </c>
      <c r="E24" s="141">
        <f t="shared" si="1"/>
        <v>1793262.6028744618</v>
      </c>
      <c r="F24" s="357">
        <f>F18</f>
        <v>8.8999999999999996E-2</v>
      </c>
      <c r="G24" s="143">
        <f t="shared" si="2"/>
        <v>159600.3716558271</v>
      </c>
      <c r="I24" s="361" t="s">
        <v>296</v>
      </c>
      <c r="J24" s="362"/>
      <c r="K24" s="362"/>
      <c r="L24" s="362"/>
      <c r="M24" s="362"/>
      <c r="N24" s="362"/>
      <c r="O24" s="362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57">
        <f>F18</f>
        <v>8.8999999999999996E-2</v>
      </c>
      <c r="G25" s="143">
        <f t="shared" si="2"/>
        <v>0</v>
      </c>
    </row>
    <row r="26" spans="2:15" x14ac:dyDescent="0.2">
      <c r="B26" s="137" t="s">
        <v>135</v>
      </c>
      <c r="C26" s="138">
        <f>SUM(C18:C25)</f>
        <v>646925377.97079158</v>
      </c>
      <c r="D26" s="139"/>
      <c r="E26" s="138">
        <f>SUM(E18:E25)</f>
        <v>665427443.78075624</v>
      </c>
      <c r="F26" s="363"/>
      <c r="G26" s="145">
        <f>SUM(G18:G25)</f>
        <v>59223042.496487297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37" t="s">
        <v>140</v>
      </c>
      <c r="C28" s="469" t="s">
        <v>154</v>
      </c>
      <c r="D28" s="471" t="s">
        <v>155</v>
      </c>
      <c r="E28" s="473">
        <v>2014</v>
      </c>
      <c r="F28" s="474"/>
      <c r="G28" s="475"/>
    </row>
    <row r="29" spans="2:15" x14ac:dyDescent="0.2">
      <c r="B29" s="338" t="s">
        <v>141</v>
      </c>
      <c r="C29" s="470"/>
      <c r="D29" s="472"/>
      <c r="E29" s="461"/>
      <c r="F29" s="462"/>
      <c r="G29" s="463"/>
    </row>
    <row r="30" spans="2:15" x14ac:dyDescent="0.2">
      <c r="B30" s="75" t="str">
        <f>B18</f>
        <v xml:space="preserve">Residential </v>
      </c>
      <c r="C30" s="133">
        <f>C5-C18</f>
        <v>31090136.462741137</v>
      </c>
      <c r="D30" s="134">
        <f>D18</f>
        <v>1.0286</v>
      </c>
      <c r="E30" s="141">
        <f t="shared" ref="E30:E37" si="5">C30*D30</f>
        <v>31979314.365575533</v>
      </c>
      <c r="F30" s="142">
        <v>8.7599999999999997E-2</v>
      </c>
      <c r="G30" s="143">
        <f t="shared" ref="G30:G37" si="6">E30*F30</f>
        <v>2801387.9384244168</v>
      </c>
      <c r="I30" s="361" t="s">
        <v>297</v>
      </c>
      <c r="J30" s="361"/>
      <c r="K30" s="361"/>
      <c r="L30" s="361"/>
      <c r="M30" s="361"/>
      <c r="N30" s="361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22469711.048888311</v>
      </c>
      <c r="D31" s="134">
        <f t="shared" ref="D31:D37" si="9">D19</f>
        <v>1.0286</v>
      </c>
      <c r="E31" s="141">
        <f t="shared" si="5"/>
        <v>23112344.784886517</v>
      </c>
      <c r="F31" s="142">
        <f>F30</f>
        <v>8.7599999999999997E-2</v>
      </c>
      <c r="G31" s="143">
        <f t="shared" si="6"/>
        <v>2024641.4031560589</v>
      </c>
      <c r="I31" s="361" t="s">
        <v>298</v>
      </c>
      <c r="J31" s="361"/>
      <c r="K31" s="361"/>
      <c r="L31" s="361"/>
      <c r="M31" s="361"/>
      <c r="N31" s="361"/>
    </row>
    <row r="32" spans="2:15" x14ac:dyDescent="0.2">
      <c r="B32" s="75" t="str">
        <f t="shared" si="7"/>
        <v>General Service &gt; 50 to 999 kW</v>
      </c>
      <c r="C32" s="133">
        <f t="shared" si="8"/>
        <v>292059770.82368833</v>
      </c>
      <c r="D32" s="134">
        <f t="shared" si="9"/>
        <v>1.0286</v>
      </c>
      <c r="E32" s="141">
        <f t="shared" si="5"/>
        <v>300412680.2692458</v>
      </c>
      <c r="F32" s="142">
        <f>F30</f>
        <v>8.7599999999999997E-2</v>
      </c>
      <c r="G32" s="143">
        <f t="shared" si="6"/>
        <v>26316150.791585933</v>
      </c>
      <c r="I32" s="361" t="s">
        <v>299</v>
      </c>
      <c r="J32" s="361"/>
      <c r="K32" s="361"/>
      <c r="L32" s="361"/>
      <c r="M32" s="361"/>
      <c r="N32" s="361"/>
    </row>
    <row r="33" spans="2:10" x14ac:dyDescent="0.2">
      <c r="B33" s="75" t="str">
        <f t="shared" si="7"/>
        <v>General Service &gt; 1000 to 4999 kW</v>
      </c>
      <c r="C33" s="133">
        <f t="shared" si="8"/>
        <v>221369806.97822428</v>
      </c>
      <c r="D33" s="134">
        <f t="shared" si="9"/>
        <v>1.0286</v>
      </c>
      <c r="E33" s="141">
        <f t="shared" si="5"/>
        <v>227700983.45780149</v>
      </c>
      <c r="F33" s="142">
        <f>F30</f>
        <v>8.7599999999999997E-2</v>
      </c>
      <c r="G33" s="143">
        <f t="shared" si="6"/>
        <v>19946606.150903411</v>
      </c>
    </row>
    <row r="34" spans="2:10" x14ac:dyDescent="0.2">
      <c r="B34" s="75" t="str">
        <f t="shared" si="7"/>
        <v>Large User</v>
      </c>
      <c r="C34" s="133">
        <f t="shared" si="8"/>
        <v>207072349.00780675</v>
      </c>
      <c r="D34" s="134">
        <f t="shared" si="9"/>
        <v>1.0003</v>
      </c>
      <c r="E34" s="141">
        <f t="shared" si="5"/>
        <v>207134470.7125091</v>
      </c>
      <c r="F34" s="142">
        <f>F30</f>
        <v>8.7599999999999997E-2</v>
      </c>
      <c r="G34" s="143">
        <f t="shared" si="6"/>
        <v>18144979.634415798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9594439.4543452542</v>
      </c>
      <c r="D35" s="134">
        <f t="shared" si="9"/>
        <v>1.0286</v>
      </c>
      <c r="E35" s="141">
        <f t="shared" si="5"/>
        <v>9868840.4227395281</v>
      </c>
      <c r="F35" s="142">
        <f>F30</f>
        <v>8.7599999999999997E-2</v>
      </c>
      <c r="G35" s="143">
        <f t="shared" si="6"/>
        <v>864510.42103198264</v>
      </c>
    </row>
    <row r="36" spans="2:10" x14ac:dyDescent="0.2">
      <c r="B36" s="75" t="str">
        <f t="shared" si="7"/>
        <v xml:space="preserve">Unmetered Loads </v>
      </c>
      <c r="C36" s="133">
        <f t="shared" si="8"/>
        <v>3493.7902304208837</v>
      </c>
      <c r="D36" s="134">
        <f t="shared" si="9"/>
        <v>1.0286</v>
      </c>
      <c r="E36" s="141">
        <f t="shared" si="5"/>
        <v>3593.7126310109211</v>
      </c>
      <c r="F36" s="142">
        <f>F30</f>
        <v>8.7599999999999997E-2</v>
      </c>
      <c r="G36" s="143">
        <f t="shared" si="6"/>
        <v>314.80922647655666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12613577.074962657</v>
      </c>
      <c r="D37" s="134">
        <f t="shared" si="9"/>
        <v>1.0286</v>
      </c>
      <c r="E37" s="141">
        <f t="shared" si="5"/>
        <v>12974325.379306588</v>
      </c>
      <c r="F37" s="142">
        <f>F30</f>
        <v>8.7599999999999997E-2</v>
      </c>
      <c r="G37" s="143">
        <f t="shared" si="6"/>
        <v>1136550.9032272571</v>
      </c>
    </row>
    <row r="38" spans="2:10" x14ac:dyDescent="0.2">
      <c r="B38" s="137" t="s">
        <v>135</v>
      </c>
      <c r="C38" s="138">
        <f>SUM(C30:C37)</f>
        <v>796273284.64088714</v>
      </c>
      <c r="D38" s="139"/>
      <c r="E38" s="138">
        <f>SUM(E30:E37)</f>
        <v>813186553.10469556</v>
      </c>
      <c r="F38" s="144"/>
      <c r="G38" s="145">
        <f>SUM(G30:G37)</f>
        <v>71235142.051971331</v>
      </c>
    </row>
    <row r="40" spans="2:10" x14ac:dyDescent="0.2">
      <c r="B40" s="339" t="s">
        <v>142</v>
      </c>
      <c r="C40" s="340"/>
      <c r="D40" s="341" t="s">
        <v>143</v>
      </c>
      <c r="E40" s="342"/>
      <c r="F40" s="343"/>
      <c r="G40" s="340"/>
    </row>
    <row r="41" spans="2:10" x14ac:dyDescent="0.2">
      <c r="B41" s="338" t="s">
        <v>141</v>
      </c>
      <c r="C41" s="356"/>
      <c r="D41" s="344" t="s">
        <v>144</v>
      </c>
      <c r="E41" s="461">
        <v>2014</v>
      </c>
      <c r="F41" s="462"/>
      <c r="G41" s="463"/>
    </row>
    <row r="42" spans="2:10" x14ac:dyDescent="0.2">
      <c r="B42" s="151" t="str">
        <f>B30</f>
        <v xml:space="preserve">Residential </v>
      </c>
      <c r="C42" s="141"/>
      <c r="D42" s="152" t="s">
        <v>132</v>
      </c>
      <c r="E42" s="141">
        <f>E18+E30</f>
        <v>412104566.56669486</v>
      </c>
      <c r="F42" s="364">
        <v>6.7000000000000002E-3</v>
      </c>
      <c r="G42" s="143">
        <f t="shared" ref="G42:G49" si="10">E42*F42</f>
        <v>2761100.5959968558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132</v>
      </c>
      <c r="E43" s="141">
        <f>E19+E31</f>
        <v>160057789.36902025</v>
      </c>
      <c r="F43" s="364">
        <v>5.7999999999999996E-3</v>
      </c>
      <c r="G43" s="143">
        <f t="shared" si="10"/>
        <v>928335.17834031745</v>
      </c>
    </row>
    <row r="44" spans="2:10" x14ac:dyDescent="0.2">
      <c r="B44" s="151" t="str">
        <f t="shared" si="11"/>
        <v>General Service &gt; 50 to 999 kW</v>
      </c>
      <c r="C44" s="141"/>
      <c r="D44" s="152" t="s">
        <v>133</v>
      </c>
      <c r="E44" s="141">
        <f>D7</f>
        <v>1234884.3370373398</v>
      </c>
      <c r="F44" s="364">
        <v>3.7791000000000001</v>
      </c>
      <c r="G44" s="143">
        <f t="shared" si="10"/>
        <v>4666751.3980978113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133</v>
      </c>
      <c r="E45" s="141">
        <f>D8</f>
        <v>526573.44271505112</v>
      </c>
      <c r="F45" s="364">
        <v>2.8702000000000001</v>
      </c>
      <c r="G45" s="143">
        <f t="shared" si="10"/>
        <v>1511371.0952807397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133</v>
      </c>
      <c r="E46" s="141">
        <f>D9</f>
        <v>429057.14555874991</v>
      </c>
      <c r="F46" s="364">
        <v>2.7199</v>
      </c>
      <c r="G46" s="143">
        <f t="shared" si="10"/>
        <v>1166992.530205244</v>
      </c>
    </row>
    <row r="47" spans="2:10" x14ac:dyDescent="0.2">
      <c r="B47" s="151" t="str">
        <f t="shared" si="11"/>
        <v>Street Lights</v>
      </c>
      <c r="C47" s="141"/>
      <c r="D47" s="152" t="s">
        <v>133</v>
      </c>
      <c r="E47" s="141">
        <f>D10</f>
        <v>25750.749206811401</v>
      </c>
      <c r="F47" s="364">
        <v>1.8991</v>
      </c>
      <c r="G47" s="143">
        <f t="shared" si="10"/>
        <v>48903.247818655531</v>
      </c>
    </row>
    <row r="48" spans="2:10" x14ac:dyDescent="0.2">
      <c r="B48" s="151" t="str">
        <f>B36</f>
        <v xml:space="preserve">Unmetered Loads </v>
      </c>
      <c r="C48" s="141"/>
      <c r="D48" s="152" t="s">
        <v>132</v>
      </c>
      <c r="E48" s="141">
        <f>E36</f>
        <v>3593.7126310109211</v>
      </c>
      <c r="F48" s="364">
        <v>5.7999999999999996E-3</v>
      </c>
      <c r="G48" s="143">
        <f t="shared" si="10"/>
        <v>20.843533259863342</v>
      </c>
    </row>
    <row r="49" spans="2:7" x14ac:dyDescent="0.2">
      <c r="B49" s="151" t="str">
        <f t="shared" si="11"/>
        <v>Embedded Distributors - Hydro One</v>
      </c>
      <c r="C49" s="141"/>
      <c r="D49" s="152" t="s">
        <v>133</v>
      </c>
      <c r="E49" s="141">
        <f>D12</f>
        <v>27169.313157872592</v>
      </c>
      <c r="F49" s="364">
        <v>2.7199</v>
      </c>
      <c r="G49" s="143">
        <f t="shared" si="10"/>
        <v>73897.814858097656</v>
      </c>
    </row>
    <row r="50" spans="2:7" x14ac:dyDescent="0.2">
      <c r="B50" s="137" t="s">
        <v>135</v>
      </c>
      <c r="C50" s="138"/>
      <c r="D50" s="139"/>
      <c r="E50" s="138"/>
      <c r="F50" s="144"/>
      <c r="G50" s="154">
        <f>SUM(G42:G49)</f>
        <v>11157372.704130983</v>
      </c>
    </row>
    <row r="52" spans="2:7" x14ac:dyDescent="0.2">
      <c r="B52" s="339" t="s">
        <v>145</v>
      </c>
      <c r="C52" s="340"/>
      <c r="D52" s="345" t="s">
        <v>143</v>
      </c>
      <c r="E52" s="342"/>
      <c r="F52" s="343"/>
      <c r="G52" s="340"/>
    </row>
    <row r="53" spans="2:7" x14ac:dyDescent="0.2">
      <c r="B53" s="338" t="s">
        <v>141</v>
      </c>
      <c r="C53" s="356"/>
      <c r="D53" s="346" t="s">
        <v>144</v>
      </c>
      <c r="E53" s="461">
        <v>2014</v>
      </c>
      <c r="F53" s="462"/>
      <c r="G53" s="463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412104566.56669486</v>
      </c>
      <c r="F54" s="364">
        <v>4.1999999999999997E-3</v>
      </c>
      <c r="G54" s="143">
        <f t="shared" ref="G54:G61" si="12">E54*F54</f>
        <v>1730839.1795801183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160057789.36902025</v>
      </c>
      <c r="F55" s="364">
        <v>3.8999999999999998E-3</v>
      </c>
      <c r="G55" s="143">
        <f t="shared" si="12"/>
        <v>624225.37853917899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1234884.3370373398</v>
      </c>
      <c r="F56" s="364">
        <v>2.3950999999999998</v>
      </c>
      <c r="G56" s="143">
        <f t="shared" si="12"/>
        <v>2957671.4756381321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526573.44271505112</v>
      </c>
      <c r="F57" s="364">
        <v>1.8796999999999999</v>
      </c>
      <c r="G57" s="143">
        <f t="shared" si="12"/>
        <v>989800.10027148155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429057.14555874991</v>
      </c>
      <c r="F58" s="364">
        <v>1.9133</v>
      </c>
      <c r="G58" s="143">
        <f t="shared" si="12"/>
        <v>820915.0365975562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25750.749206811401</v>
      </c>
      <c r="F59" s="364">
        <v>1.2036</v>
      </c>
      <c r="G59" s="143">
        <f t="shared" si="12"/>
        <v>30993.601745318203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3593.7126310109211</v>
      </c>
      <c r="F60" s="364">
        <v>3.8999999999999998E-3</v>
      </c>
      <c r="G60" s="143">
        <f t="shared" si="12"/>
        <v>14.015479260942591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27169.313157872592</v>
      </c>
      <c r="F61" s="364">
        <v>1.9133</v>
      </c>
      <c r="G61" s="143">
        <f t="shared" si="12"/>
        <v>51983.046864957629</v>
      </c>
    </row>
    <row r="62" spans="2:7" x14ac:dyDescent="0.2">
      <c r="B62" s="137" t="s">
        <v>135</v>
      </c>
      <c r="C62" s="138"/>
      <c r="D62" s="139"/>
      <c r="E62" s="138"/>
      <c r="F62" s="144"/>
      <c r="G62" s="154">
        <f>SUM(G54:G61)</f>
        <v>7206441.8347160053</v>
      </c>
    </row>
    <row r="64" spans="2:7" x14ac:dyDescent="0.2">
      <c r="B64" s="339" t="s">
        <v>146</v>
      </c>
      <c r="C64" s="340"/>
      <c r="D64" s="345"/>
      <c r="E64" s="342"/>
      <c r="F64" s="343"/>
      <c r="G64" s="340"/>
    </row>
    <row r="65" spans="2:14" x14ac:dyDescent="0.2">
      <c r="B65" s="338" t="s">
        <v>141</v>
      </c>
      <c r="C65" s="356"/>
      <c r="D65" s="346"/>
      <c r="E65" s="461">
        <v>2014</v>
      </c>
      <c r="F65" s="462"/>
      <c r="G65" s="464"/>
    </row>
    <row r="66" spans="2:14" x14ac:dyDescent="0.2">
      <c r="B66" s="151" t="str">
        <f>B54</f>
        <v xml:space="preserve">Residential </v>
      </c>
      <c r="C66" s="141"/>
      <c r="D66" s="152" t="s">
        <v>132</v>
      </c>
      <c r="E66" s="141">
        <f>E18+E30</f>
        <v>412104566.56669486</v>
      </c>
      <c r="F66" s="153">
        <v>4.4000000000000003E-3</v>
      </c>
      <c r="G66" s="143">
        <f t="shared" ref="G66:G73" si="15">E66*F66</f>
        <v>1813260.0928934575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132</v>
      </c>
      <c r="E67" s="141">
        <f t="shared" ref="E67:E73" si="17">E19+E31</f>
        <v>160057789.36902025</v>
      </c>
      <c r="F67" s="153">
        <v>4.4000000000000003E-3</v>
      </c>
      <c r="G67" s="143">
        <f t="shared" si="15"/>
        <v>704254.27322368918</v>
      </c>
    </row>
    <row r="68" spans="2:14" x14ac:dyDescent="0.2">
      <c r="B68" s="151" t="str">
        <f t="shared" si="16"/>
        <v>General Service &gt; 50 to 999 kW</v>
      </c>
      <c r="C68" s="141"/>
      <c r="D68" s="152" t="s">
        <v>132</v>
      </c>
      <c r="E68" s="141">
        <f t="shared" si="17"/>
        <v>446976164.66187441</v>
      </c>
      <c r="F68" s="153">
        <v>4.4000000000000003E-3</v>
      </c>
      <c r="G68" s="143">
        <f t="shared" si="15"/>
        <v>1966695.1245122475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132</v>
      </c>
      <c r="E69" s="141">
        <f t="shared" si="17"/>
        <v>227700983.45780149</v>
      </c>
      <c r="F69" s="153">
        <v>4.4000000000000003E-3</v>
      </c>
      <c r="G69" s="143">
        <f t="shared" si="15"/>
        <v>1001884.3272143266</v>
      </c>
    </row>
    <row r="70" spans="2:14" x14ac:dyDescent="0.2">
      <c r="B70" s="151" t="str">
        <f t="shared" si="16"/>
        <v>Large User</v>
      </c>
      <c r="C70" s="141"/>
      <c r="D70" s="152" t="s">
        <v>132</v>
      </c>
      <c r="E70" s="141">
        <f t="shared" si="17"/>
        <v>207134470.7125091</v>
      </c>
      <c r="F70" s="153">
        <v>4.4000000000000003E-3</v>
      </c>
      <c r="G70" s="143">
        <f t="shared" si="15"/>
        <v>911391.67113504012</v>
      </c>
    </row>
    <row r="71" spans="2:14" x14ac:dyDescent="0.2">
      <c r="B71" s="151" t="str">
        <f t="shared" si="16"/>
        <v>Street Lights</v>
      </c>
      <c r="C71" s="141"/>
      <c r="D71" s="152" t="s">
        <v>132</v>
      </c>
      <c r="E71" s="141">
        <f t="shared" si="17"/>
        <v>9868840.4227395281</v>
      </c>
      <c r="F71" s="153">
        <v>4.4000000000000003E-3</v>
      </c>
      <c r="G71" s="143">
        <f t="shared" si="15"/>
        <v>43422.897860053927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132</v>
      </c>
      <c r="E72" s="141">
        <f t="shared" si="17"/>
        <v>1796856.3155054727</v>
      </c>
      <c r="F72" s="153">
        <v>4.4000000000000003E-3</v>
      </c>
      <c r="G72" s="143">
        <f t="shared" si="15"/>
        <v>7906.1677882240801</v>
      </c>
    </row>
    <row r="73" spans="2:14" x14ac:dyDescent="0.2">
      <c r="B73" s="151" t="str">
        <f t="shared" si="16"/>
        <v>Embedded Distributors - Hydro One</v>
      </c>
      <c r="C73" s="141"/>
      <c r="D73" s="152" t="s">
        <v>132</v>
      </c>
      <c r="E73" s="141">
        <f t="shared" si="17"/>
        <v>12974325.379306588</v>
      </c>
      <c r="F73" s="153">
        <v>4.4000000000000003E-3</v>
      </c>
      <c r="G73" s="143">
        <f t="shared" si="15"/>
        <v>57087.031668948992</v>
      </c>
    </row>
    <row r="74" spans="2:14" x14ac:dyDescent="0.2">
      <c r="B74" s="137" t="s">
        <v>135</v>
      </c>
      <c r="C74" s="138"/>
      <c r="D74" s="139"/>
      <c r="E74" s="138">
        <f>SUM(E66:E73)</f>
        <v>1478613996.8854518</v>
      </c>
      <c r="F74" s="144"/>
      <c r="G74" s="154">
        <f>SUM(G66:G73)</f>
        <v>6505901.5862959884</v>
      </c>
    </row>
    <row r="76" spans="2:14" x14ac:dyDescent="0.2">
      <c r="B76" s="339" t="s">
        <v>147</v>
      </c>
      <c r="C76" s="340"/>
      <c r="D76" s="345"/>
      <c r="E76" s="342"/>
      <c r="F76" s="343"/>
      <c r="G76" s="340"/>
    </row>
    <row r="77" spans="2:14" x14ac:dyDescent="0.2">
      <c r="B77" s="338" t="s">
        <v>141</v>
      </c>
      <c r="C77" s="356"/>
      <c r="D77" s="346"/>
      <c r="E77" s="465">
        <v>2014</v>
      </c>
      <c r="F77" s="462"/>
      <c r="G77" s="463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412104566.56669486</v>
      </c>
      <c r="F78" s="365">
        <v>1.2999999999999999E-3</v>
      </c>
      <c r="G78" s="143">
        <f t="shared" ref="G78:G85" si="19">E78*F78</f>
        <v>535735.93653670326</v>
      </c>
      <c r="I78" s="366" t="s">
        <v>297</v>
      </c>
      <c r="J78" s="366"/>
      <c r="K78" s="366"/>
      <c r="L78" s="366"/>
      <c r="M78" s="366"/>
      <c r="N78" s="366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160057789.36902025</v>
      </c>
      <c r="F79" s="365">
        <v>1.2999999999999999E-3</v>
      </c>
      <c r="G79" s="143">
        <f t="shared" si="19"/>
        <v>208075.12617972633</v>
      </c>
      <c r="I79" s="366" t="s">
        <v>300</v>
      </c>
      <c r="J79" s="366"/>
      <c r="K79" s="366"/>
      <c r="L79" s="366"/>
      <c r="M79" s="366"/>
      <c r="N79" s="366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446976164.66187441</v>
      </c>
      <c r="F80" s="365">
        <v>1.2999999999999999E-3</v>
      </c>
      <c r="G80" s="143">
        <f t="shared" si="19"/>
        <v>581069.01406043675</v>
      </c>
      <c r="I80" t="s">
        <v>295</v>
      </c>
      <c r="J80" t="s">
        <v>295</v>
      </c>
      <c r="K80" t="s">
        <v>295</v>
      </c>
      <c r="L80" t="s">
        <v>295</v>
      </c>
      <c r="M80" t="s">
        <v>295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227700983.45780149</v>
      </c>
      <c r="F81" s="365">
        <v>1.2999999999999999E-3</v>
      </c>
      <c r="G81" s="143">
        <f t="shared" si="19"/>
        <v>296011.27849514195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207134470.7125091</v>
      </c>
      <c r="F82" s="365">
        <v>1.2999999999999999E-3</v>
      </c>
      <c r="G82" s="143">
        <f t="shared" si="19"/>
        <v>269274.81192626181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9868840.4227395281</v>
      </c>
      <c r="F83" s="365">
        <v>1.2999999999999999E-3</v>
      </c>
      <c r="G83" s="143">
        <f t="shared" si="19"/>
        <v>12829.492549561386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1796856.3155054727</v>
      </c>
      <c r="F84" s="365">
        <v>1.2999999999999999E-3</v>
      </c>
      <c r="G84" s="143">
        <f t="shared" si="19"/>
        <v>2335.9132101571145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12974325.379306588</v>
      </c>
      <c r="F85" s="365">
        <v>1.2999999999999999E-3</v>
      </c>
      <c r="G85" s="143">
        <f t="shared" si="19"/>
        <v>16866.622993098565</v>
      </c>
    </row>
    <row r="86" spans="2:7" x14ac:dyDescent="0.2">
      <c r="B86" s="137" t="s">
        <v>135</v>
      </c>
      <c r="C86" s="138"/>
      <c r="D86" s="139"/>
      <c r="E86" s="138">
        <f>SUM(E78:E85)</f>
        <v>1478613996.8854518</v>
      </c>
      <c r="F86" s="144"/>
      <c r="G86" s="154">
        <f>SUM(G78:G85)</f>
        <v>1922198.1959510872</v>
      </c>
    </row>
    <row r="88" spans="2:7" x14ac:dyDescent="0.2">
      <c r="B88" s="347"/>
      <c r="C88" s="348">
        <v>2014</v>
      </c>
    </row>
    <row r="89" spans="2:7" x14ac:dyDescent="0.2">
      <c r="B89" s="69"/>
      <c r="C89" s="155"/>
    </row>
    <row r="90" spans="2:7" x14ac:dyDescent="0.2">
      <c r="B90" s="62" t="s">
        <v>148</v>
      </c>
      <c r="C90" s="156">
        <f>G26+G38</f>
        <v>130458184.54845864</v>
      </c>
    </row>
    <row r="91" spans="2:7" x14ac:dyDescent="0.2">
      <c r="B91" s="62" t="s">
        <v>149</v>
      </c>
      <c r="C91" s="157">
        <f>G74</f>
        <v>6505901.5862959884</v>
      </c>
    </row>
    <row r="92" spans="2:7" x14ac:dyDescent="0.2">
      <c r="B92" s="62" t="s">
        <v>150</v>
      </c>
      <c r="C92" s="157">
        <f>G50</f>
        <v>11157372.704130983</v>
      </c>
    </row>
    <row r="93" spans="2:7" x14ac:dyDescent="0.2">
      <c r="B93" s="62" t="s">
        <v>151</v>
      </c>
      <c r="C93" s="157">
        <f>G62</f>
        <v>7206441.8347160053</v>
      </c>
    </row>
    <row r="94" spans="2:7" x14ac:dyDescent="0.2">
      <c r="B94" s="62" t="s">
        <v>152</v>
      </c>
      <c r="C94" s="157">
        <f>G86</f>
        <v>1922198.1959510872</v>
      </c>
    </row>
    <row r="95" spans="2:7" x14ac:dyDescent="0.2">
      <c r="B95" s="62" t="s">
        <v>153</v>
      </c>
      <c r="C95" s="349">
        <v>170662</v>
      </c>
    </row>
    <row r="96" spans="2:7" x14ac:dyDescent="0.2">
      <c r="B96" s="351" t="s">
        <v>290</v>
      </c>
      <c r="C96" s="349">
        <v>480492</v>
      </c>
    </row>
    <row r="97" spans="2:3" x14ac:dyDescent="0.2">
      <c r="B97" s="78" t="s">
        <v>135</v>
      </c>
      <c r="C97" s="138">
        <f>SUM(C90:C96)</f>
        <v>157901252.86955267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Settlement Tables</vt:lpstr>
      <vt:lpstr>2013 COP Forecast Feb 2014</vt:lpstr>
      <vt:lpstr>2014 COP Forecast Feb 2014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2014-04-04T15:44:05Z</dcterms:modified>
</cp:coreProperties>
</file>