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858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 s="1"/>
  <c r="N14" i="1"/>
  <c r="N13" i="1"/>
  <c r="N12" i="1"/>
  <c r="N11" i="1"/>
  <c r="N10" i="1"/>
  <c r="N9" i="1"/>
  <c r="N8" i="1"/>
  <c r="N7" i="1"/>
  <c r="F15" i="1"/>
  <c r="F14" i="1"/>
  <c r="F13" i="1"/>
  <c r="F11" i="1"/>
  <c r="F12" i="1" s="1"/>
  <c r="F10" i="1"/>
  <c r="F8" i="1"/>
  <c r="F9" i="1" s="1"/>
  <c r="F7" i="1"/>
  <c r="M14" i="1" l="1"/>
  <c r="M11" i="1"/>
  <c r="M8" i="1"/>
  <c r="L14" i="1"/>
  <c r="K13" i="1"/>
  <c r="M13" i="1" s="1"/>
  <c r="L11" i="1"/>
  <c r="K10" i="1"/>
  <c r="L10" i="1" s="1"/>
  <c r="L8" i="1"/>
  <c r="K7" i="1"/>
  <c r="M7" i="1" s="1"/>
  <c r="L13" i="1" l="1"/>
  <c r="M10" i="1"/>
  <c r="M12" i="1" s="1"/>
  <c r="L7" i="1"/>
  <c r="L9" i="1" s="1"/>
  <c r="M9" i="1"/>
  <c r="L15" i="1"/>
  <c r="L12" i="1"/>
  <c r="M15" i="1"/>
  <c r="M16" i="1" l="1"/>
  <c r="L16" i="1"/>
  <c r="D14" i="1"/>
  <c r="D13" i="1"/>
  <c r="D11" i="1"/>
  <c r="D10" i="1"/>
  <c r="D8" i="1"/>
  <c r="D7" i="1"/>
  <c r="C14" i="1"/>
  <c r="C13" i="1"/>
  <c r="C11" i="1"/>
  <c r="C10" i="1"/>
  <c r="C8" i="1"/>
  <c r="C7" i="1"/>
  <c r="D15" i="1" l="1"/>
  <c r="E15" i="1" s="1"/>
  <c r="C9" i="1"/>
  <c r="G9" i="1" s="1"/>
  <c r="D9" i="1"/>
  <c r="C12" i="1"/>
  <c r="G12" i="1" s="1"/>
  <c r="D12" i="1"/>
  <c r="E12" i="1" s="1"/>
  <c r="C15" i="1"/>
  <c r="G15" i="1" s="1"/>
  <c r="E9" i="1" l="1"/>
</calcChain>
</file>

<file path=xl/sharedStrings.xml><?xml version="1.0" encoding="utf-8"?>
<sst xmlns="http://schemas.openxmlformats.org/spreadsheetml/2006/main" count="53" uniqueCount="25">
  <si>
    <t>Norfolk Class</t>
  </si>
  <si>
    <t>Residential</t>
  </si>
  <si>
    <t>GS&gt;50KW</t>
  </si>
  <si>
    <t>GS&lt;50KW</t>
  </si>
  <si>
    <t>Monthly</t>
  </si>
  <si>
    <t>Volume</t>
  </si>
  <si>
    <t>Total</t>
  </si>
  <si>
    <t>Billing</t>
  </si>
  <si>
    <t>Component</t>
  </si>
  <si>
    <t>Norfolk</t>
  </si>
  <si>
    <t>2013 Rates</t>
  </si>
  <si>
    <t>Norfolk Rate Order dated April 4, 2013 for 2013 Rates</t>
  </si>
  <si>
    <t>Hydro One Rate Order dated December 20, 2012 for 2013 Rates</t>
  </si>
  <si>
    <t>Sources:</t>
  </si>
  <si>
    <t>Determinants</t>
  </si>
  <si>
    <t>TOTALS</t>
  </si>
  <si>
    <t>Billing Determinants from 2012 Rebasing</t>
  </si>
  <si>
    <t>and Average</t>
  </si>
  <si>
    <t>Load per Cust.</t>
  </si>
  <si>
    <t>Hydro One Norfolk Distribution Revenues Comparison</t>
  </si>
  <si>
    <t>Hydro One Norfolk Annual Distribution Bills Comparison</t>
  </si>
  <si>
    <t>Percent Increase</t>
  </si>
  <si>
    <t>Hydro One 2013 Rates (R1,GSe,GSd)</t>
  </si>
  <si>
    <t>Hydro One 2019 Rates (R1,GSe,GSd)</t>
  </si>
  <si>
    <t>EB-2013-0416 Hydro One Rate Application for 2019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</si>
</sst>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3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2" fillId="0" borderId="0" xfId="0" applyFont="1"/>
    <xf numFmtId="164" fontId="0" fillId="0" borderId="7" xfId="0" applyNumberFormat="1" applyBorder="1" applyAlignment="1"/>
    <xf numFmtId="164" fontId="0" fillId="0" borderId="8" xfId="0" applyNumberFormat="1" applyBorder="1" applyAlignment="1"/>
    <xf numFmtId="164" fontId="0" fillId="0" borderId="9" xfId="0" applyNumberFormat="1" applyBorder="1" applyAlignmen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165" fontId="0" fillId="0" borderId="3" xfId="0" applyNumberFormat="1" applyBorder="1"/>
    <xf numFmtId="0" fontId="0" fillId="0" borderId="1" xfId="0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" xfId="0" applyNumberFormat="1" applyBorder="1"/>
    <xf numFmtId="0" fontId="2" fillId="0" borderId="0" xfId="0" applyFont="1" applyFill="1" applyBorder="1"/>
    <xf numFmtId="165" fontId="0" fillId="0" borderId="7" xfId="0" applyNumberFormat="1" applyBorder="1" applyAlignment="1"/>
    <xf numFmtId="165" fontId="0" fillId="0" borderId="3" xfId="0" applyNumberFormat="1" applyBorder="1" applyAlignment="1"/>
    <xf numFmtId="165" fontId="0" fillId="0" borderId="8" xfId="0" applyNumberFormat="1" applyBorder="1" applyAlignment="1"/>
    <xf numFmtId="165" fontId="0" fillId="0" borderId="0" xfId="0" applyNumberFormat="1" applyBorder="1" applyAlignment="1"/>
    <xf numFmtId="165" fontId="0" fillId="0" borderId="9" xfId="0" applyNumberFormat="1" applyBorder="1" applyAlignment="1"/>
    <xf numFmtId="165" fontId="0" fillId="0" borderId="6" xfId="0" applyNumberFormat="1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10" fontId="0" fillId="0" borderId="9" xfId="0" applyNumberFormat="1" applyBorder="1"/>
    <xf numFmtId="10" fontId="0" fillId="0" borderId="9" xfId="0" applyNumberFormat="1" applyBorder="1" applyAlignment="1"/>
    <xf numFmtId="0" fontId="3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tabSelected="1" workbookViewId="0">
      <selection activeCell="Q6" sqref="Q6"/>
    </sheetView>
  </sheetViews>
  <sheetFormatPr defaultRowHeight="14.4" x14ac:dyDescent="0.3"/>
  <cols>
    <col min="1" max="1" width="12.88671875" customWidth="1"/>
    <col min="2" max="2" width="11.21875" customWidth="1"/>
    <col min="3" max="7" width="12.77734375" customWidth="1"/>
    <col min="9" max="9" width="11.88671875" customWidth="1"/>
    <col min="10" max="10" width="10.44140625" customWidth="1"/>
    <col min="11" max="11" width="11.6640625" customWidth="1"/>
    <col min="12" max="12" width="11.77734375" customWidth="1"/>
    <col min="13" max="13" width="12.21875" customWidth="1"/>
    <col min="14" max="14" width="13.6640625" customWidth="1"/>
  </cols>
  <sheetData>
    <row r="2" spans="1:14" ht="18" x14ac:dyDescent="0.35">
      <c r="A2" s="4" t="s">
        <v>20</v>
      </c>
      <c r="B2" s="5"/>
      <c r="C2" s="5"/>
      <c r="D2" s="5"/>
      <c r="E2" s="5"/>
      <c r="F2" s="5"/>
      <c r="G2" s="5"/>
      <c r="I2" s="4" t="s">
        <v>19</v>
      </c>
      <c r="J2" s="5"/>
      <c r="K2" s="5"/>
      <c r="L2" s="5"/>
      <c r="M2" s="5"/>
      <c r="N2" s="5"/>
    </row>
    <row r="3" spans="1:14" ht="15" thickBot="1" x14ac:dyDescent="0.35"/>
    <row r="4" spans="1:14" ht="14.4" customHeight="1" x14ac:dyDescent="0.3">
      <c r="A4" s="30" t="s">
        <v>0</v>
      </c>
      <c r="B4" s="31" t="s">
        <v>7</v>
      </c>
      <c r="C4" s="32" t="s">
        <v>9</v>
      </c>
      <c r="D4" s="40" t="s">
        <v>22</v>
      </c>
      <c r="E4" s="40" t="s">
        <v>21</v>
      </c>
      <c r="F4" s="40" t="s">
        <v>23</v>
      </c>
      <c r="G4" s="40" t="s">
        <v>21</v>
      </c>
      <c r="I4" s="30" t="s">
        <v>0</v>
      </c>
      <c r="J4" s="31" t="s">
        <v>7</v>
      </c>
      <c r="K4" s="31" t="s">
        <v>7</v>
      </c>
      <c r="L4" s="32" t="s">
        <v>9</v>
      </c>
      <c r="M4" s="40" t="s">
        <v>22</v>
      </c>
      <c r="N4" s="40" t="s">
        <v>23</v>
      </c>
    </row>
    <row r="5" spans="1:14" x14ac:dyDescent="0.3">
      <c r="A5" s="33" t="s">
        <v>17</v>
      </c>
      <c r="B5" s="34" t="s">
        <v>8</v>
      </c>
      <c r="C5" s="35" t="s">
        <v>10</v>
      </c>
      <c r="D5" s="41"/>
      <c r="E5" s="41"/>
      <c r="F5" s="41"/>
      <c r="G5" s="41"/>
      <c r="I5" s="33"/>
      <c r="J5" s="34" t="s">
        <v>8</v>
      </c>
      <c r="K5" s="34" t="s">
        <v>14</v>
      </c>
      <c r="L5" s="35" t="s">
        <v>10</v>
      </c>
      <c r="M5" s="41"/>
      <c r="N5" s="41"/>
    </row>
    <row r="6" spans="1:14" ht="15" thickBot="1" x14ac:dyDescent="0.35">
      <c r="A6" s="33" t="s">
        <v>18</v>
      </c>
      <c r="B6" s="34"/>
      <c r="C6" s="35"/>
      <c r="D6" s="42"/>
      <c r="E6" s="42"/>
      <c r="F6" s="42"/>
      <c r="G6" s="42"/>
      <c r="I6" s="33"/>
      <c r="J6" s="34"/>
      <c r="K6" s="34"/>
      <c r="L6" s="35"/>
      <c r="M6" s="42"/>
      <c r="N6" s="42"/>
    </row>
    <row r="7" spans="1:14" x14ac:dyDescent="0.3">
      <c r="A7" s="30" t="s">
        <v>1</v>
      </c>
      <c r="B7" s="1" t="s">
        <v>4</v>
      </c>
      <c r="C7" s="6">
        <f>20.87*12</f>
        <v>250.44</v>
      </c>
      <c r="D7" s="12">
        <f>23.85*12</f>
        <v>286.20000000000005</v>
      </c>
      <c r="E7" s="12"/>
      <c r="F7" s="12">
        <f>27.89*12</f>
        <v>334.68</v>
      </c>
      <c r="G7" s="12"/>
      <c r="I7" s="30" t="s">
        <v>1</v>
      </c>
      <c r="J7" s="1" t="s">
        <v>4</v>
      </c>
      <c r="K7" s="15">
        <f>17026*12</f>
        <v>204312</v>
      </c>
      <c r="L7" s="18">
        <f>20.87*K7</f>
        <v>4263991.4400000004</v>
      </c>
      <c r="M7" s="25">
        <f>23.85*K7</f>
        <v>4872841.2</v>
      </c>
      <c r="N7" s="24">
        <f>27.89*K7</f>
        <v>5698261.6799999997</v>
      </c>
    </row>
    <row r="8" spans="1:14" x14ac:dyDescent="0.3">
      <c r="A8" s="33">
        <v>730</v>
      </c>
      <c r="B8" s="2" t="s">
        <v>5</v>
      </c>
      <c r="C8" s="7">
        <f>0.0218*A8*12</f>
        <v>190.96799999999999</v>
      </c>
      <c r="D8" s="13">
        <f>0.03353*A8*12</f>
        <v>293.72279999999995</v>
      </c>
      <c r="E8" s="13"/>
      <c r="F8" s="13">
        <f>0.03227*A8*12</f>
        <v>282.68520000000001</v>
      </c>
      <c r="G8" s="13"/>
      <c r="I8" s="33"/>
      <c r="J8" s="2" t="s">
        <v>5</v>
      </c>
      <c r="K8" s="16">
        <v>149120393</v>
      </c>
      <c r="L8" s="20">
        <f>0.0218*K8</f>
        <v>3250824.5674000001</v>
      </c>
      <c r="M8" s="27">
        <f>0.03353*K8</f>
        <v>5000006.7772899996</v>
      </c>
      <c r="N8" s="26">
        <f>0.03227*K8</f>
        <v>4812115.0821099998</v>
      </c>
    </row>
    <row r="9" spans="1:14" ht="15" thickBot="1" x14ac:dyDescent="0.35">
      <c r="A9" s="36"/>
      <c r="B9" s="3" t="s">
        <v>6</v>
      </c>
      <c r="C9" s="9">
        <f>+C8+C7</f>
        <v>441.40800000000002</v>
      </c>
      <c r="D9" s="14">
        <f>+D8+D7</f>
        <v>579.92280000000005</v>
      </c>
      <c r="E9" s="38">
        <f>+(D9-C9)/C9</f>
        <v>0.31380219660722058</v>
      </c>
      <c r="F9" s="10">
        <f>+F7+F8</f>
        <v>617.36519999999996</v>
      </c>
      <c r="G9" s="39">
        <f>+(F9-C9)/C9</f>
        <v>0.3986271204871682</v>
      </c>
      <c r="I9" s="36"/>
      <c r="J9" s="3" t="s">
        <v>6</v>
      </c>
      <c r="K9" s="17"/>
      <c r="L9" s="21">
        <f>+L8+L7</f>
        <v>7514816.0074000005</v>
      </c>
      <c r="M9" s="29">
        <f>+M8+M7</f>
        <v>9872847.9772900008</v>
      </c>
      <c r="N9" s="28">
        <f>+N8+N7</f>
        <v>10510376.762109999</v>
      </c>
    </row>
    <row r="10" spans="1:14" x14ac:dyDescent="0.3">
      <c r="A10" s="33" t="s">
        <v>3</v>
      </c>
      <c r="B10" s="2" t="s">
        <v>4</v>
      </c>
      <c r="C10" s="7">
        <f>49.98*12</f>
        <v>599.76</v>
      </c>
      <c r="D10" s="13">
        <f>39.79*12</f>
        <v>477.48</v>
      </c>
      <c r="E10" s="13"/>
      <c r="F10" s="13">
        <f>32.47*12</f>
        <v>389.64</v>
      </c>
      <c r="G10" s="13"/>
      <c r="I10" s="33" t="s">
        <v>3</v>
      </c>
      <c r="J10" s="2" t="s">
        <v>4</v>
      </c>
      <c r="K10" s="16">
        <f>1986*12</f>
        <v>23832</v>
      </c>
      <c r="L10" s="18">
        <f>49.98*K10</f>
        <v>1191123.3599999999</v>
      </c>
      <c r="M10" s="26">
        <f>39.79*K10</f>
        <v>948275.28</v>
      </c>
      <c r="N10" s="26">
        <f>32.47*K10</f>
        <v>773825.03999999992</v>
      </c>
    </row>
    <row r="11" spans="1:14" x14ac:dyDescent="0.3">
      <c r="A11" s="33">
        <v>2601</v>
      </c>
      <c r="B11" s="2" t="s">
        <v>5</v>
      </c>
      <c r="C11" s="7">
        <f>0.0156*A11*12</f>
        <v>486.90719999999999</v>
      </c>
      <c r="D11" s="13">
        <f>0.03981*A11*12</f>
        <v>1242.54972</v>
      </c>
      <c r="E11" s="13"/>
      <c r="F11" s="13">
        <f>0.06532*A11*12</f>
        <v>2038.76784</v>
      </c>
      <c r="G11" s="13"/>
      <c r="I11" s="33"/>
      <c r="J11" s="2" t="s">
        <v>5</v>
      </c>
      <c r="K11" s="16">
        <v>61992882</v>
      </c>
      <c r="L11" s="20">
        <f>0.0156*K11</f>
        <v>967088.95919999992</v>
      </c>
      <c r="M11" s="26">
        <f>0.03981*K11</f>
        <v>2467936.6324199997</v>
      </c>
      <c r="N11" s="26">
        <f>0.06532*K11</f>
        <v>4049375.0522400001</v>
      </c>
    </row>
    <row r="12" spans="1:14" ht="15" thickBot="1" x14ac:dyDescent="0.35">
      <c r="A12" s="33"/>
      <c r="B12" s="2" t="s">
        <v>6</v>
      </c>
      <c r="C12" s="7">
        <f>+C11+C10</f>
        <v>1086.6671999999999</v>
      </c>
      <c r="D12" s="13">
        <f>+D11+D10</f>
        <v>1720.02972</v>
      </c>
      <c r="E12" s="38">
        <f>+(D12-C12)/C12</f>
        <v>0.58284865872458491</v>
      </c>
      <c r="F12" s="8">
        <f>+F11+F10</f>
        <v>2428.4078399999999</v>
      </c>
      <c r="G12" s="39">
        <f>+(F12-C12)/C12</f>
        <v>1.2347300443042728</v>
      </c>
      <c r="I12" s="33"/>
      <c r="J12" s="2" t="s">
        <v>6</v>
      </c>
      <c r="K12" s="16"/>
      <c r="L12" s="21">
        <f>+L11+L10</f>
        <v>2158212.3191999998</v>
      </c>
      <c r="M12" s="26">
        <f>+M11+M10</f>
        <v>3416211.9124199999</v>
      </c>
      <c r="N12" s="26">
        <f>+N11+N10</f>
        <v>4823200.0922400001</v>
      </c>
    </row>
    <row r="13" spans="1:14" x14ac:dyDescent="0.3">
      <c r="A13" s="30" t="s">
        <v>2</v>
      </c>
      <c r="B13" s="1" t="s">
        <v>4</v>
      </c>
      <c r="C13" s="6">
        <f>245.55*12</f>
        <v>2946.6000000000004</v>
      </c>
      <c r="D13" s="12">
        <f>55.62*12</f>
        <v>667.43999999999994</v>
      </c>
      <c r="E13" s="12"/>
      <c r="F13" s="12">
        <f>106.94*12</f>
        <v>1283.28</v>
      </c>
      <c r="G13" s="12"/>
      <c r="I13" s="30" t="s">
        <v>2</v>
      </c>
      <c r="J13" s="1" t="s">
        <v>4</v>
      </c>
      <c r="K13" s="15">
        <f>165*12</f>
        <v>1980</v>
      </c>
      <c r="L13" s="18">
        <f>245.55*K13</f>
        <v>486189</v>
      </c>
      <c r="M13" s="25">
        <f>55.62*K13</f>
        <v>110127.59999999999</v>
      </c>
      <c r="N13" s="24">
        <f>106.94*K13</f>
        <v>211741.19999999998</v>
      </c>
    </row>
    <row r="14" spans="1:14" x14ac:dyDescent="0.3">
      <c r="A14" s="33">
        <v>174</v>
      </c>
      <c r="B14" s="2" t="s">
        <v>5</v>
      </c>
      <c r="C14" s="7">
        <f>3.9602*A14*12</f>
        <v>8268.8976000000002</v>
      </c>
      <c r="D14" s="13">
        <f>11.37*A14*12</f>
        <v>23740.559999999998</v>
      </c>
      <c r="E14" s="13"/>
      <c r="F14" s="13">
        <f>20.253*A14*12</f>
        <v>42288.263999999996</v>
      </c>
      <c r="G14" s="13"/>
      <c r="I14" s="33"/>
      <c r="J14" s="2" t="s">
        <v>5</v>
      </c>
      <c r="K14" s="16">
        <v>344556</v>
      </c>
      <c r="L14" s="20">
        <f>3.9602*K14</f>
        <v>1364510.6712</v>
      </c>
      <c r="M14" s="27">
        <f>11.37*K14</f>
        <v>3917601.7199999997</v>
      </c>
      <c r="N14" s="26">
        <f>20.253*K14</f>
        <v>6978292.6679999996</v>
      </c>
    </row>
    <row r="15" spans="1:14" ht="15" thickBot="1" x14ac:dyDescent="0.35">
      <c r="A15" s="36"/>
      <c r="B15" s="3" t="s">
        <v>6</v>
      </c>
      <c r="C15" s="9">
        <f>+C14+C13</f>
        <v>11215.497600000001</v>
      </c>
      <c r="D15" s="14">
        <f>+D14+D13</f>
        <v>24407.999999999996</v>
      </c>
      <c r="E15" s="38">
        <f>+(D15-C15)/C15</f>
        <v>1.1762743723470632</v>
      </c>
      <c r="F15" s="10">
        <f>+F14+F13</f>
        <v>43571.543999999994</v>
      </c>
      <c r="G15" s="39">
        <f>+(F15-C15)/C15</f>
        <v>2.8849407805142762</v>
      </c>
      <c r="I15" s="36"/>
      <c r="J15" s="3" t="s">
        <v>6</v>
      </c>
      <c r="K15" s="17"/>
      <c r="L15" s="21">
        <f>+L14+L13</f>
        <v>1850699.6712</v>
      </c>
      <c r="M15" s="29">
        <f>+M14+M13</f>
        <v>4027729.32</v>
      </c>
      <c r="N15" s="28">
        <f>+N14+N13</f>
        <v>7190033.8679999998</v>
      </c>
    </row>
    <row r="16" spans="1:14" ht="15" thickBot="1" x14ac:dyDescent="0.35">
      <c r="I16" s="37" t="s">
        <v>15</v>
      </c>
      <c r="J16" s="19"/>
      <c r="K16" s="19"/>
      <c r="L16" s="22">
        <f>+L9+L12+L15</f>
        <v>11523727.9978</v>
      </c>
      <c r="M16" s="22">
        <f>+M9+M12+M15</f>
        <v>17316789.209710002</v>
      </c>
      <c r="N16" s="22">
        <f>+N9+N12+N15</f>
        <v>22523610.722349998</v>
      </c>
    </row>
    <row r="17" spans="1:9" x14ac:dyDescent="0.3">
      <c r="A17" s="11" t="s">
        <v>13</v>
      </c>
    </row>
    <row r="18" spans="1:9" x14ac:dyDescent="0.3">
      <c r="A18" s="11" t="s">
        <v>11</v>
      </c>
      <c r="I18" s="11" t="s">
        <v>13</v>
      </c>
    </row>
    <row r="19" spans="1:9" x14ac:dyDescent="0.3">
      <c r="A19" s="11" t="s">
        <v>12</v>
      </c>
      <c r="I19" s="11" t="s">
        <v>16</v>
      </c>
    </row>
    <row r="20" spans="1:9" x14ac:dyDescent="0.3">
      <c r="A20" s="11" t="s">
        <v>24</v>
      </c>
      <c r="I20" s="11"/>
    </row>
    <row r="21" spans="1:9" x14ac:dyDescent="0.3">
      <c r="A21" s="23"/>
    </row>
  </sheetData>
  <mergeCells count="6">
    <mergeCell ref="N4:N6"/>
    <mergeCell ref="E4:E6"/>
    <mergeCell ref="D4:D6"/>
    <mergeCell ref="F4:F6"/>
    <mergeCell ref="G4:G6"/>
    <mergeCell ref="M4:M6"/>
  </mergeCells>
  <pageMargins left="0.7" right="0.7" top="0.75" bottom="0.75" header="0.3" footer="0.3"/>
  <pageSetup scale="5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2014-04-14T19:47:01Z</cp:lastPrinted>
  <dcterms:created xsi:type="dcterms:W3CDTF">2013-08-05T16:14:29Z</dcterms:created>
  <dcterms:modified xsi:type="dcterms:W3CDTF">2014-04-14T19:47:09Z</dcterms:modified>
</cp:coreProperties>
</file>