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60" windowWidth="12972" windowHeight="5268"/>
  </bookViews>
  <sheets>
    <sheet name="Residential" sheetId="2" r:id="rId1"/>
    <sheet name="GS &lt; 50" sheetId="5" r:id="rId2"/>
    <sheet name="GS &gt; 50 Non Interval" sheetId="6" r:id="rId3"/>
    <sheet name="GS &gt; 50 Interval" sheetId="13" r:id="rId4"/>
    <sheet name="GS &gt; 1000" sheetId="8" r:id="rId5"/>
    <sheet name="Embedded" sheetId="14" r:id="rId6"/>
    <sheet name="Street Light" sheetId="10" r:id="rId7"/>
    <sheet name="Sentinel Light" sheetId="11" r:id="rId8"/>
    <sheet name="Unmetered" sheetId="12" r:id="rId9"/>
  </sheets>
  <definedNames>
    <definedName name="EBNUMBER">#REF!</definedName>
    <definedName name="_xlnm.Print_Area" localSheetId="5">Embedded!$A$1:$O$83</definedName>
    <definedName name="_xlnm.Print_Area" localSheetId="1">'GS &lt; 50'!$A$1:$P$382</definedName>
    <definedName name="_xlnm.Print_Area" localSheetId="4">'GS &gt; 1000'!$A$1:$P$236</definedName>
    <definedName name="_xlnm.Print_Area" localSheetId="3">'GS &gt; 50 Interval'!$A$1:$P$309</definedName>
    <definedName name="_xlnm.Print_Area" localSheetId="2">'GS &gt; 50 Non Interval'!$A$1:$P$309</definedName>
    <definedName name="_xlnm.Print_Area" localSheetId="0">Residential!$A$1:$P$528</definedName>
    <definedName name="_xlnm.Print_Area" localSheetId="7">'Sentinel Light'!$A$1:$O$82</definedName>
    <definedName name="_xlnm.Print_Area" localSheetId="6">'Street Light'!$A$1:$P$158</definedName>
    <definedName name="_xlnm.Print_Area" localSheetId="8">Unmetered!$A$1:$P$158</definedName>
  </definedNames>
  <calcPr calcId="145621"/>
</workbook>
</file>

<file path=xl/calcChain.xml><?xml version="1.0" encoding="utf-8"?>
<calcChain xmlns="http://schemas.openxmlformats.org/spreadsheetml/2006/main">
  <c r="B112" i="12" l="1"/>
  <c r="B111" i="12"/>
  <c r="B110" i="12"/>
  <c r="B37" i="12"/>
  <c r="B36" i="12"/>
  <c r="B35" i="12"/>
  <c r="B36" i="11"/>
  <c r="B35" i="11"/>
  <c r="B34" i="11"/>
  <c r="B111" i="10"/>
  <c r="B110" i="10"/>
  <c r="B109" i="10"/>
  <c r="B36" i="10"/>
  <c r="B35" i="10"/>
  <c r="B34" i="10"/>
  <c r="B190" i="8"/>
  <c r="B189" i="8"/>
  <c r="B188" i="8"/>
  <c r="B114" i="8"/>
  <c r="B113" i="8"/>
  <c r="B112" i="8"/>
  <c r="B37" i="8"/>
  <c r="B36" i="8"/>
  <c r="B35" i="8"/>
  <c r="B262" i="13"/>
  <c r="B261" i="13"/>
  <c r="B260" i="13"/>
  <c r="B187" i="13"/>
  <c r="B186" i="13"/>
  <c r="B185" i="13"/>
  <c r="B112" i="13"/>
  <c r="B111" i="13"/>
  <c r="B110" i="13"/>
  <c r="B37" i="13"/>
  <c r="B36" i="13"/>
  <c r="B35" i="13"/>
  <c r="B262" i="6"/>
  <c r="B261" i="6"/>
  <c r="B260" i="6"/>
  <c r="B187" i="6"/>
  <c r="B186" i="6"/>
  <c r="B185" i="6"/>
  <c r="B112" i="6"/>
  <c r="B111" i="6"/>
  <c r="B110" i="6"/>
  <c r="B37" i="6"/>
  <c r="B36" i="6"/>
  <c r="B35" i="6"/>
  <c r="B336" i="5"/>
  <c r="B335" i="5"/>
  <c r="B334" i="5"/>
  <c r="B261" i="5"/>
  <c r="B260" i="5"/>
  <c r="B259" i="5"/>
  <c r="B185" i="5"/>
  <c r="B184" i="5"/>
  <c r="B183" i="5"/>
  <c r="B111" i="5"/>
  <c r="B110" i="5"/>
  <c r="B109" i="5"/>
  <c r="B37" i="5"/>
  <c r="B36" i="5"/>
  <c r="B35" i="5"/>
  <c r="B482" i="2"/>
  <c r="B481" i="2"/>
  <c r="B480" i="2"/>
  <c r="B408" i="2"/>
  <c r="B407" i="2"/>
  <c r="B406" i="2"/>
  <c r="B334" i="2"/>
  <c r="B333" i="2"/>
  <c r="B332" i="2"/>
  <c r="B260" i="2"/>
  <c r="B259" i="2"/>
  <c r="B258" i="2"/>
  <c r="B186" i="2"/>
  <c r="B185" i="2"/>
  <c r="B184" i="2"/>
  <c r="B112" i="2"/>
  <c r="B111" i="2"/>
  <c r="B110" i="2"/>
  <c r="G48" i="2" l="1"/>
  <c r="F19" i="14" l="1"/>
  <c r="J149" i="12" l="1"/>
  <c r="J74" i="12"/>
  <c r="J74" i="11"/>
  <c r="J149" i="10"/>
  <c r="J74" i="10"/>
  <c r="J227" i="8"/>
  <c r="J151" i="8"/>
  <c r="J74" i="8"/>
  <c r="J299" i="13"/>
  <c r="J224" i="13"/>
  <c r="J149" i="13"/>
  <c r="J74" i="13"/>
  <c r="J299" i="6"/>
  <c r="J224" i="6"/>
  <c r="J149" i="6"/>
  <c r="J74" i="6"/>
  <c r="J373" i="5"/>
  <c r="J298" i="5"/>
  <c r="J222" i="5"/>
  <c r="J148" i="5"/>
  <c r="J74" i="5"/>
  <c r="J519" i="2"/>
  <c r="J445" i="2"/>
  <c r="J371" i="2"/>
  <c r="J297" i="2"/>
  <c r="J223" i="2"/>
  <c r="J149" i="2"/>
  <c r="J124" i="12"/>
  <c r="J123" i="12"/>
  <c r="J124" i="10"/>
  <c r="J123" i="10"/>
  <c r="J202" i="8"/>
  <c r="J201" i="8"/>
  <c r="J274" i="13"/>
  <c r="J273" i="13"/>
  <c r="J274" i="6"/>
  <c r="J273" i="6"/>
  <c r="J348" i="5"/>
  <c r="J347" i="5"/>
  <c r="J494" i="2"/>
  <c r="J493" i="2"/>
  <c r="J123" i="2" l="1"/>
  <c r="J197" i="2"/>
  <c r="J271" i="2"/>
  <c r="J345" i="2"/>
  <c r="J419" i="2"/>
  <c r="J122" i="5"/>
  <c r="J196" i="5"/>
  <c r="J272" i="5"/>
  <c r="J123" i="6"/>
  <c r="J198" i="6"/>
  <c r="J123" i="13"/>
  <c r="J198" i="13"/>
  <c r="J125" i="8"/>
  <c r="J124" i="2"/>
  <c r="J198" i="2"/>
  <c r="J272" i="2"/>
  <c r="J346" i="2"/>
  <c r="J420" i="2"/>
  <c r="J123" i="5"/>
  <c r="J197" i="5"/>
  <c r="J273" i="5"/>
  <c r="J124" i="6"/>
  <c r="J199" i="6"/>
  <c r="J124" i="13"/>
  <c r="J199" i="13"/>
  <c r="J126" i="8"/>
  <c r="F18" i="14"/>
  <c r="G45" i="11" l="1"/>
  <c r="K45" i="11" l="1"/>
  <c r="G120" i="12" l="1"/>
  <c r="K120" i="12"/>
  <c r="L120" i="12" s="1"/>
  <c r="G132" i="12"/>
  <c r="G131" i="12"/>
  <c r="G130" i="12"/>
  <c r="K123" i="12"/>
  <c r="K119" i="12"/>
  <c r="K118" i="12"/>
  <c r="K117" i="12"/>
  <c r="K116" i="12"/>
  <c r="K115" i="12"/>
  <c r="G119" i="12"/>
  <c r="G118" i="12"/>
  <c r="G117" i="12"/>
  <c r="G116" i="12"/>
  <c r="G115" i="12"/>
  <c r="K113" i="12"/>
  <c r="K112" i="12"/>
  <c r="K111" i="12"/>
  <c r="K110" i="12"/>
  <c r="K108" i="12"/>
  <c r="K107" i="12"/>
  <c r="K106" i="12"/>
  <c r="K105" i="12"/>
  <c r="K104" i="12"/>
  <c r="G113" i="12"/>
  <c r="G112" i="12"/>
  <c r="G111" i="12"/>
  <c r="G110" i="12"/>
  <c r="G108" i="12"/>
  <c r="G107" i="12"/>
  <c r="G106" i="12"/>
  <c r="G104" i="12"/>
  <c r="H64" i="12"/>
  <c r="G133" i="12"/>
  <c r="G58" i="12"/>
  <c r="F45" i="12"/>
  <c r="F120" i="12"/>
  <c r="F45" i="5"/>
  <c r="F344" i="5"/>
  <c r="G55" i="10" l="1"/>
  <c r="K133" i="10"/>
  <c r="K134" i="10" s="1"/>
  <c r="K273" i="13" l="1"/>
  <c r="K273" i="6"/>
  <c r="K51" i="11"/>
  <c r="K48" i="11"/>
  <c r="K51" i="10"/>
  <c r="K126" i="10"/>
  <c r="K130" i="10"/>
  <c r="L130" i="10" s="1"/>
  <c r="K132" i="10"/>
  <c r="K131" i="10"/>
  <c r="K211" i="8" l="1"/>
  <c r="K212" i="8" s="1"/>
  <c r="K210" i="8"/>
  <c r="K209" i="8"/>
  <c r="K208" i="8"/>
  <c r="K135" i="8"/>
  <c r="K136" i="8" s="1"/>
  <c r="K134" i="8"/>
  <c r="K133" i="8"/>
  <c r="K132" i="8"/>
  <c r="K58" i="14"/>
  <c r="K59" i="14" s="1"/>
  <c r="K56" i="14" l="1"/>
  <c r="K57" i="14"/>
  <c r="K55" i="14"/>
  <c r="L55" i="14" s="1"/>
  <c r="K58" i="8"/>
  <c r="K59" i="8" s="1"/>
  <c r="K57" i="8"/>
  <c r="K56" i="8"/>
  <c r="K55" i="8"/>
  <c r="G205" i="13" l="1"/>
  <c r="G55" i="8"/>
  <c r="L55" i="8"/>
  <c r="K51" i="14" l="1"/>
  <c r="O70" i="14"/>
  <c r="N70" i="14"/>
  <c r="O64" i="14"/>
  <c r="N64" i="14"/>
  <c r="G58" i="14"/>
  <c r="G57" i="14"/>
  <c r="L57" i="14" s="1"/>
  <c r="G56" i="14"/>
  <c r="H56" i="14" s="1"/>
  <c r="G55" i="14"/>
  <c r="K54" i="14"/>
  <c r="G54" i="14"/>
  <c r="H54" i="14" s="1"/>
  <c r="J53" i="14"/>
  <c r="L53" i="14" s="1"/>
  <c r="N53" i="14" s="1"/>
  <c r="H53" i="14"/>
  <c r="O53" i="14" s="1"/>
  <c r="K52" i="14"/>
  <c r="L52" i="14" s="1"/>
  <c r="J51" i="14"/>
  <c r="G51" i="14"/>
  <c r="H51" i="14" s="1"/>
  <c r="K48" i="14"/>
  <c r="K49" i="14" s="1"/>
  <c r="H48" i="14"/>
  <c r="G48" i="14"/>
  <c r="G49" i="14" s="1"/>
  <c r="H49" i="14" s="1"/>
  <c r="L46" i="14"/>
  <c r="N46" i="14" s="1"/>
  <c r="H46" i="14"/>
  <c r="K45" i="14"/>
  <c r="L45" i="14" s="1"/>
  <c r="G45" i="14"/>
  <c r="K44" i="14"/>
  <c r="G44" i="14"/>
  <c r="H44" i="14" s="1"/>
  <c r="K43" i="14"/>
  <c r="L43" i="14" s="1"/>
  <c r="G43" i="14"/>
  <c r="H43" i="14" s="1"/>
  <c r="O43" i="14" s="1"/>
  <c r="K42" i="14"/>
  <c r="L42" i="14" s="1"/>
  <c r="G42" i="14"/>
  <c r="H42" i="14" s="1"/>
  <c r="O42" i="14" s="1"/>
  <c r="K41" i="14"/>
  <c r="L41" i="14" s="1"/>
  <c r="H41" i="14"/>
  <c r="O41" i="14" s="1"/>
  <c r="G41" i="14"/>
  <c r="L40" i="14"/>
  <c r="K40" i="14"/>
  <c r="G40" i="14"/>
  <c r="H40" i="14" s="1"/>
  <c r="K38" i="14"/>
  <c r="L38" i="14" s="1"/>
  <c r="H38" i="14"/>
  <c r="O38" i="14" s="1"/>
  <c r="G38" i="14"/>
  <c r="L37" i="14"/>
  <c r="K37" i="14"/>
  <c r="G37" i="14"/>
  <c r="H37" i="14" s="1"/>
  <c r="O37" i="14" s="1"/>
  <c r="K36" i="14"/>
  <c r="L36" i="14" s="1"/>
  <c r="H36" i="14"/>
  <c r="O36" i="14" s="1"/>
  <c r="G36" i="14"/>
  <c r="L35" i="14"/>
  <c r="K35" i="14"/>
  <c r="G35" i="14"/>
  <c r="H35" i="14" s="1"/>
  <c r="O35" i="14" s="1"/>
  <c r="K34" i="14"/>
  <c r="L34" i="14" s="1"/>
  <c r="H34" i="14"/>
  <c r="G34" i="14"/>
  <c r="L33" i="14"/>
  <c r="K33" i="14"/>
  <c r="G33" i="14"/>
  <c r="H33" i="14" s="1"/>
  <c r="K32" i="14"/>
  <c r="L32" i="14" s="1"/>
  <c r="H32" i="14"/>
  <c r="G32" i="14"/>
  <c r="K31" i="14"/>
  <c r="G31" i="14"/>
  <c r="H31" i="14" s="1"/>
  <c r="K30" i="14"/>
  <c r="L30" i="14" s="1"/>
  <c r="N30" i="14" s="1"/>
  <c r="H30" i="14"/>
  <c r="O30" i="14" s="1"/>
  <c r="K29" i="14"/>
  <c r="G29" i="14"/>
  <c r="H29" i="14" s="1"/>
  <c r="L28" i="14"/>
  <c r="N28" i="14" s="1"/>
  <c r="H28" i="14"/>
  <c r="O28" i="14" s="1"/>
  <c r="L27" i="14"/>
  <c r="N27" i="14" s="1"/>
  <c r="H27" i="14"/>
  <c r="O27" i="14" s="1"/>
  <c r="L26" i="14"/>
  <c r="N26" i="14" s="1"/>
  <c r="H26" i="14"/>
  <c r="O26" i="14" s="1"/>
  <c r="L25" i="14"/>
  <c r="N25" i="14" s="1"/>
  <c r="H25" i="14"/>
  <c r="O25" i="14" s="1"/>
  <c r="L24" i="14"/>
  <c r="N24" i="14" s="1"/>
  <c r="H24" i="14"/>
  <c r="O24" i="14" s="1"/>
  <c r="H23" i="14"/>
  <c r="K276" i="13"/>
  <c r="N42" i="14" l="1"/>
  <c r="H55" i="14"/>
  <c r="L54" i="14"/>
  <c r="N54" i="14" s="1"/>
  <c r="O54" i="14" s="1"/>
  <c r="H57" i="14"/>
  <c r="N37" i="14"/>
  <c r="N33" i="14"/>
  <c r="N32" i="14"/>
  <c r="O32" i="14" s="1"/>
  <c r="N34" i="14"/>
  <c r="O34" i="14" s="1"/>
  <c r="N36" i="14"/>
  <c r="N38" i="14"/>
  <c r="N41" i="14"/>
  <c r="N43" i="14"/>
  <c r="H58" i="14"/>
  <c r="G59" i="14"/>
  <c r="L49" i="14"/>
  <c r="N49" i="14" s="1"/>
  <c r="O49" i="14" s="1"/>
  <c r="G52" i="14"/>
  <c r="H52" i="14" s="1"/>
  <c r="N55" i="14"/>
  <c r="O55" i="14" s="1"/>
  <c r="L58" i="14"/>
  <c r="L56" i="14"/>
  <c r="N57" i="14"/>
  <c r="O57" i="14" s="1"/>
  <c r="L48" i="14"/>
  <c r="N48" i="14" s="1"/>
  <c r="O48" i="14" s="1"/>
  <c r="O33" i="14"/>
  <c r="N35" i="14"/>
  <c r="N40" i="14"/>
  <c r="O40" i="14" s="1"/>
  <c r="N56" i="14"/>
  <c r="O56" i="14" s="1"/>
  <c r="N52" i="14"/>
  <c r="O52" i="14" s="1"/>
  <c r="H39" i="14"/>
  <c r="L51" i="14"/>
  <c r="N58" i="14" l="1"/>
  <c r="O58" i="14" s="1"/>
  <c r="L59" i="14"/>
  <c r="H59" i="14"/>
  <c r="H45" i="14"/>
  <c r="H47" i="14" s="1"/>
  <c r="N51" i="14"/>
  <c r="O51" i="14" s="1"/>
  <c r="N45" i="14" l="1"/>
  <c r="O45" i="14" s="1"/>
  <c r="N59" i="14"/>
  <c r="O59" i="14" s="1"/>
  <c r="H50" i="14"/>
  <c r="H61" i="14" l="1"/>
  <c r="H67" i="14"/>
  <c r="H68" i="14" l="1"/>
  <c r="H69" i="14" s="1"/>
  <c r="H62" i="14"/>
  <c r="H63" i="14" s="1"/>
  <c r="H65" i="14" l="1"/>
  <c r="H71" i="14"/>
  <c r="K276" i="6" l="1"/>
  <c r="K201" i="6"/>
  <c r="K126" i="6"/>
  <c r="K51" i="6"/>
  <c r="K48" i="2"/>
  <c r="K201" i="13"/>
  <c r="K126" i="13"/>
  <c r="K51" i="13"/>
  <c r="K204" i="8"/>
  <c r="K128" i="8"/>
  <c r="K51" i="8"/>
  <c r="G428" i="2" l="1"/>
  <c r="G427" i="2"/>
  <c r="G426" i="2"/>
  <c r="K426" i="2" s="1"/>
  <c r="G130" i="2" l="1"/>
  <c r="H31" i="8" l="1"/>
  <c r="G58" i="6" l="1"/>
  <c r="K98" i="10" l="1"/>
  <c r="K23" i="10"/>
  <c r="K120" i="10" l="1"/>
  <c r="K119" i="10"/>
  <c r="K118" i="10"/>
  <c r="K117" i="10"/>
  <c r="K116" i="10"/>
  <c r="K115" i="10"/>
  <c r="K45" i="10"/>
  <c r="K113" i="10"/>
  <c r="K112" i="10"/>
  <c r="K111" i="10"/>
  <c r="K110" i="10"/>
  <c r="K109" i="10"/>
  <c r="K108" i="10"/>
  <c r="K107" i="10"/>
  <c r="K106" i="10"/>
  <c r="K104" i="10"/>
  <c r="G129" i="10"/>
  <c r="G130" i="10"/>
  <c r="G131" i="10"/>
  <c r="G132" i="10"/>
  <c r="G133" i="10"/>
  <c r="G134" i="10" s="1"/>
  <c r="G120" i="10"/>
  <c r="G119" i="10"/>
  <c r="G118" i="10"/>
  <c r="G117" i="10"/>
  <c r="G116" i="10"/>
  <c r="G115" i="10"/>
  <c r="G113" i="10"/>
  <c r="G112" i="10"/>
  <c r="G111" i="10"/>
  <c r="G110" i="10"/>
  <c r="G109" i="10"/>
  <c r="G108" i="10"/>
  <c r="G107" i="10"/>
  <c r="G106" i="10"/>
  <c r="G104" i="10"/>
  <c r="G98" i="10"/>
  <c r="K38" i="10"/>
  <c r="K37" i="10"/>
  <c r="K36" i="10"/>
  <c r="K35" i="10"/>
  <c r="K34" i="10"/>
  <c r="K33" i="10"/>
  <c r="K32" i="10"/>
  <c r="K31" i="10"/>
  <c r="K29" i="10"/>
  <c r="K44" i="10"/>
  <c r="K43" i="10"/>
  <c r="K42" i="10"/>
  <c r="K41" i="10"/>
  <c r="K40" i="10"/>
  <c r="G57" i="10"/>
  <c r="G56" i="10"/>
  <c r="G45" i="10"/>
  <c r="G44" i="10"/>
  <c r="G43" i="10"/>
  <c r="G42" i="10"/>
  <c r="G41" i="10"/>
  <c r="G40" i="10"/>
  <c r="G38" i="10"/>
  <c r="G37" i="10"/>
  <c r="G36" i="10"/>
  <c r="G35" i="10"/>
  <c r="G34" i="10"/>
  <c r="G33" i="10"/>
  <c r="G32" i="10"/>
  <c r="H32" i="10" s="1"/>
  <c r="G29" i="10"/>
  <c r="H29" i="10" s="1"/>
  <c r="G211" i="8"/>
  <c r="G212" i="8" s="1"/>
  <c r="G210" i="8"/>
  <c r="G209" i="8"/>
  <c r="G208" i="8"/>
  <c r="G135" i="8"/>
  <c r="G136" i="8" s="1"/>
  <c r="G134" i="8"/>
  <c r="G133" i="8"/>
  <c r="G132" i="8"/>
  <c r="G58" i="8"/>
  <c r="G59" i="8" s="1"/>
  <c r="G57" i="8"/>
  <c r="G56" i="8"/>
  <c r="J45" i="8"/>
  <c r="G270" i="13" l="1"/>
  <c r="G195" i="13"/>
  <c r="G120" i="13"/>
  <c r="K270" i="6"/>
  <c r="G270" i="6"/>
  <c r="K195" i="6"/>
  <c r="G195" i="6"/>
  <c r="K120" i="6"/>
  <c r="G120" i="6"/>
  <c r="G193" i="5"/>
  <c r="F193" i="5"/>
  <c r="H193" i="5" s="1"/>
  <c r="K344" i="5"/>
  <c r="J344" i="5"/>
  <c r="G344" i="5"/>
  <c r="K269" i="5"/>
  <c r="J269" i="5"/>
  <c r="G269" i="5"/>
  <c r="F269" i="5"/>
  <c r="K193" i="5"/>
  <c r="J193" i="5"/>
  <c r="K119" i="5"/>
  <c r="J119" i="5"/>
  <c r="G119" i="5"/>
  <c r="F119" i="5"/>
  <c r="J45" i="5"/>
  <c r="F490" i="2"/>
  <c r="F416" i="2"/>
  <c r="F342" i="2"/>
  <c r="F268" i="2"/>
  <c r="F194" i="2"/>
  <c r="J490" i="2"/>
  <c r="J416" i="2"/>
  <c r="J342" i="2"/>
  <c r="J268" i="2"/>
  <c r="J194" i="2"/>
  <c r="J120" i="2"/>
  <c r="F120" i="2"/>
  <c r="J45" i="2"/>
  <c r="F45" i="2"/>
  <c r="G282" i="6"/>
  <c r="G281" i="6"/>
  <c r="G280" i="6"/>
  <c r="G283" i="6"/>
  <c r="H344" i="5" l="1"/>
  <c r="L344" i="5"/>
  <c r="H269" i="5"/>
  <c r="L269" i="5"/>
  <c r="L193" i="5"/>
  <c r="H119" i="5"/>
  <c r="L119" i="5"/>
  <c r="O223" i="8"/>
  <c r="N223" i="8"/>
  <c r="O217" i="8"/>
  <c r="N217" i="8"/>
  <c r="H212" i="8"/>
  <c r="H211" i="8"/>
  <c r="H210" i="8"/>
  <c r="H209" i="8"/>
  <c r="H208" i="8"/>
  <c r="K207" i="8"/>
  <c r="J207" i="8"/>
  <c r="H207" i="8"/>
  <c r="G207" i="8"/>
  <c r="J206" i="8"/>
  <c r="L206" i="8" s="1"/>
  <c r="N206" i="8" s="1"/>
  <c r="H206" i="8"/>
  <c r="K205" i="8"/>
  <c r="J204" i="8"/>
  <c r="L204" i="8" s="1"/>
  <c r="G204" i="8"/>
  <c r="G205" i="8" s="1"/>
  <c r="H205" i="8" s="1"/>
  <c r="K201" i="8"/>
  <c r="K202" i="8" s="1"/>
  <c r="L202" i="8" s="1"/>
  <c r="G201" i="8"/>
  <c r="G202" i="8" s="1"/>
  <c r="H202" i="8" s="1"/>
  <c r="L199" i="8"/>
  <c r="N199" i="8" s="1"/>
  <c r="H199" i="8"/>
  <c r="K198" i="8"/>
  <c r="G198" i="8"/>
  <c r="H198" i="8" s="1"/>
  <c r="K197" i="8"/>
  <c r="G197" i="8"/>
  <c r="H197" i="8" s="1"/>
  <c r="K196" i="8"/>
  <c r="L196" i="8" s="1"/>
  <c r="N196" i="8" s="1"/>
  <c r="G196" i="8"/>
  <c r="H196" i="8" s="1"/>
  <c r="O196" i="8" s="1"/>
  <c r="K195" i="8"/>
  <c r="L195" i="8" s="1"/>
  <c r="G195" i="8"/>
  <c r="H195" i="8" s="1"/>
  <c r="O195" i="8" s="1"/>
  <c r="K194" i="8"/>
  <c r="L194" i="8" s="1"/>
  <c r="G194" i="8"/>
  <c r="H194" i="8" s="1"/>
  <c r="O194" i="8" s="1"/>
  <c r="K193" i="8"/>
  <c r="G193" i="8"/>
  <c r="H193" i="8" s="1"/>
  <c r="K191" i="8"/>
  <c r="L191" i="8" s="1"/>
  <c r="G191" i="8"/>
  <c r="H191" i="8" s="1"/>
  <c r="O191" i="8" s="1"/>
  <c r="K190" i="8"/>
  <c r="G190" i="8"/>
  <c r="H190" i="8" s="1"/>
  <c r="O190" i="8" s="1"/>
  <c r="K189" i="8"/>
  <c r="G189" i="8"/>
  <c r="H189" i="8" s="1"/>
  <c r="O189" i="8" s="1"/>
  <c r="K188" i="8"/>
  <c r="G188" i="8"/>
  <c r="H188" i="8" s="1"/>
  <c r="O188" i="8" s="1"/>
  <c r="K187" i="8"/>
  <c r="H187" i="8"/>
  <c r="G187" i="8"/>
  <c r="L186" i="8"/>
  <c r="K186" i="8"/>
  <c r="H186" i="8"/>
  <c r="G186" i="8"/>
  <c r="L185" i="8"/>
  <c r="K185" i="8"/>
  <c r="H185" i="8"/>
  <c r="G185" i="8"/>
  <c r="K184" i="8"/>
  <c r="G184" i="8"/>
  <c r="H184" i="8" s="1"/>
  <c r="L183" i="8"/>
  <c r="H183" i="8"/>
  <c r="O183" i="8" s="1"/>
  <c r="K182" i="8"/>
  <c r="G182" i="8"/>
  <c r="H182" i="8" s="1"/>
  <c r="O181" i="8"/>
  <c r="L181" i="8"/>
  <c r="H181" i="8"/>
  <c r="L180" i="8"/>
  <c r="N180" i="8" s="1"/>
  <c r="H180" i="8"/>
  <c r="O180" i="8" s="1"/>
  <c r="L179" i="8"/>
  <c r="H179" i="8"/>
  <c r="O179" i="8" s="1"/>
  <c r="L178" i="8"/>
  <c r="N178" i="8" s="1"/>
  <c r="H178" i="8"/>
  <c r="O178" i="8" s="1"/>
  <c r="O177" i="8"/>
  <c r="L177" i="8"/>
  <c r="H177" i="8"/>
  <c r="H176" i="8"/>
  <c r="O147" i="8"/>
  <c r="N147" i="8"/>
  <c r="O141" i="8"/>
  <c r="N141" i="8"/>
  <c r="H136" i="8"/>
  <c r="H135" i="8"/>
  <c r="H134" i="8"/>
  <c r="H133" i="8"/>
  <c r="H132" i="8"/>
  <c r="K131" i="8"/>
  <c r="J131" i="8"/>
  <c r="H131" i="8"/>
  <c r="G131" i="8"/>
  <c r="J130" i="8"/>
  <c r="L130" i="8" s="1"/>
  <c r="N130" i="8" s="1"/>
  <c r="H130" i="8"/>
  <c r="K129" i="8"/>
  <c r="J128" i="8"/>
  <c r="L128" i="8" s="1"/>
  <c r="G128" i="8"/>
  <c r="G129" i="8" s="1"/>
  <c r="H129" i="8" s="1"/>
  <c r="K125" i="8"/>
  <c r="K126" i="8" s="1"/>
  <c r="L126" i="8" s="1"/>
  <c r="G125" i="8"/>
  <c r="G126" i="8" s="1"/>
  <c r="H126" i="8" s="1"/>
  <c r="L123" i="8"/>
  <c r="N123" i="8" s="1"/>
  <c r="H123" i="8"/>
  <c r="K122" i="8"/>
  <c r="L122" i="8" s="1"/>
  <c r="G122" i="8"/>
  <c r="K121" i="8"/>
  <c r="G121" i="8"/>
  <c r="H121" i="8" s="1"/>
  <c r="K120" i="8"/>
  <c r="L120" i="8" s="1"/>
  <c r="G120" i="8"/>
  <c r="H120" i="8" s="1"/>
  <c r="O120" i="8" s="1"/>
  <c r="K119" i="8"/>
  <c r="L119" i="8" s="1"/>
  <c r="G119" i="8"/>
  <c r="H119" i="8" s="1"/>
  <c r="O119" i="8" s="1"/>
  <c r="K118" i="8"/>
  <c r="L118" i="8" s="1"/>
  <c r="G118" i="8"/>
  <c r="H118" i="8" s="1"/>
  <c r="O118" i="8" s="1"/>
  <c r="K117" i="8"/>
  <c r="G117" i="8"/>
  <c r="H117" i="8" s="1"/>
  <c r="K115" i="8"/>
  <c r="L115" i="8" s="1"/>
  <c r="G115" i="8"/>
  <c r="H115" i="8" s="1"/>
  <c r="O115" i="8" s="1"/>
  <c r="K114" i="8"/>
  <c r="G114" i="8"/>
  <c r="H114" i="8" s="1"/>
  <c r="O114" i="8" s="1"/>
  <c r="K113" i="8"/>
  <c r="G113" i="8"/>
  <c r="H113" i="8" s="1"/>
  <c r="O113" i="8" s="1"/>
  <c r="K112" i="8"/>
  <c r="G112" i="8"/>
  <c r="H112" i="8" s="1"/>
  <c r="O112" i="8" s="1"/>
  <c r="K111" i="8"/>
  <c r="H111" i="8"/>
  <c r="G111" i="8"/>
  <c r="L110" i="8"/>
  <c r="K110" i="8"/>
  <c r="H110" i="8"/>
  <c r="G110" i="8"/>
  <c r="L109" i="8"/>
  <c r="K109" i="8"/>
  <c r="H109" i="8"/>
  <c r="G109" i="8"/>
  <c r="K108" i="8"/>
  <c r="G108" i="8"/>
  <c r="H108" i="8" s="1"/>
  <c r="L107" i="8"/>
  <c r="H107" i="8"/>
  <c r="O107" i="8" s="1"/>
  <c r="K106" i="8"/>
  <c r="G106" i="8"/>
  <c r="H106" i="8" s="1"/>
  <c r="L105" i="8"/>
  <c r="H105" i="8"/>
  <c r="O105" i="8" s="1"/>
  <c r="L104" i="8"/>
  <c r="N104" i="8" s="1"/>
  <c r="H104" i="8"/>
  <c r="O104" i="8" s="1"/>
  <c r="L103" i="8"/>
  <c r="H103" i="8"/>
  <c r="O103" i="8" s="1"/>
  <c r="L102" i="8"/>
  <c r="N102" i="8" s="1"/>
  <c r="H102" i="8"/>
  <c r="O102" i="8" s="1"/>
  <c r="L101" i="8"/>
  <c r="H101" i="8"/>
  <c r="O101" i="8" s="1"/>
  <c r="H100" i="8"/>
  <c r="K45" i="8"/>
  <c r="K44" i="8"/>
  <c r="K43" i="8"/>
  <c r="K42" i="8"/>
  <c r="K41" i="8"/>
  <c r="K40" i="8"/>
  <c r="K38" i="8"/>
  <c r="K37" i="8"/>
  <c r="K36" i="8"/>
  <c r="K35" i="8"/>
  <c r="K34" i="8"/>
  <c r="K33" i="8"/>
  <c r="K32" i="8"/>
  <c r="K31" i="8"/>
  <c r="K29" i="8"/>
  <c r="G48" i="8"/>
  <c r="G45" i="8"/>
  <c r="G44" i="8"/>
  <c r="G43" i="8"/>
  <c r="G42" i="8"/>
  <c r="G41" i="8"/>
  <c r="G40" i="8"/>
  <c r="G38" i="8"/>
  <c r="G37" i="8"/>
  <c r="G36" i="8"/>
  <c r="G35" i="8"/>
  <c r="G34" i="8"/>
  <c r="G33" i="8"/>
  <c r="G32" i="8"/>
  <c r="G31" i="8"/>
  <c r="G29" i="8"/>
  <c r="O295" i="13"/>
  <c r="N295" i="13"/>
  <c r="O289" i="13"/>
  <c r="N289" i="13"/>
  <c r="G284" i="13"/>
  <c r="G283" i="13"/>
  <c r="H283" i="13" s="1"/>
  <c r="G282" i="13"/>
  <c r="H282" i="13" s="1"/>
  <c r="G281" i="13"/>
  <c r="H281" i="13" s="1"/>
  <c r="G280" i="13"/>
  <c r="H280" i="13" s="1"/>
  <c r="K279" i="13"/>
  <c r="J279" i="13"/>
  <c r="H279" i="13"/>
  <c r="G279" i="13"/>
  <c r="J278" i="13"/>
  <c r="L278" i="13" s="1"/>
  <c r="N278" i="13" s="1"/>
  <c r="H278" i="13"/>
  <c r="K277" i="13"/>
  <c r="J276" i="13"/>
  <c r="L276" i="13" s="1"/>
  <c r="G276" i="13"/>
  <c r="G277" i="13" s="1"/>
  <c r="H277" i="13" s="1"/>
  <c r="K274" i="13"/>
  <c r="L273" i="13"/>
  <c r="G273" i="13"/>
  <c r="G274" i="13" s="1"/>
  <c r="H274" i="13" s="1"/>
  <c r="L271" i="13"/>
  <c r="N271" i="13" s="1"/>
  <c r="H271" i="13"/>
  <c r="K270" i="13"/>
  <c r="K269" i="13"/>
  <c r="G269" i="13"/>
  <c r="H269" i="13" s="1"/>
  <c r="K268" i="13"/>
  <c r="L268" i="13" s="1"/>
  <c r="G268" i="13"/>
  <c r="H268" i="13" s="1"/>
  <c r="O268" i="13" s="1"/>
  <c r="K267" i="13"/>
  <c r="L267" i="13" s="1"/>
  <c r="G267" i="13"/>
  <c r="H267" i="13" s="1"/>
  <c r="O267" i="13" s="1"/>
  <c r="K266" i="13"/>
  <c r="L266" i="13" s="1"/>
  <c r="G266" i="13"/>
  <c r="H266" i="13" s="1"/>
  <c r="O266" i="13" s="1"/>
  <c r="K265" i="13"/>
  <c r="H265" i="13"/>
  <c r="G265" i="13"/>
  <c r="L263" i="13"/>
  <c r="K263" i="13"/>
  <c r="H263" i="13"/>
  <c r="O263" i="13" s="1"/>
  <c r="G263" i="13"/>
  <c r="K262" i="13"/>
  <c r="H262" i="13"/>
  <c r="O262" i="13" s="1"/>
  <c r="G262" i="13"/>
  <c r="K261" i="13"/>
  <c r="H261" i="13"/>
  <c r="O261" i="13" s="1"/>
  <c r="G261" i="13"/>
  <c r="K260" i="13"/>
  <c r="G260" i="13"/>
  <c r="H260" i="13" s="1"/>
  <c r="O260" i="13" s="1"/>
  <c r="L259" i="13"/>
  <c r="H259" i="13"/>
  <c r="O259" i="13" s="1"/>
  <c r="K258" i="13"/>
  <c r="L258" i="13" s="1"/>
  <c r="G258" i="13"/>
  <c r="H258" i="13" s="1"/>
  <c r="K257" i="13"/>
  <c r="L257" i="13" s="1"/>
  <c r="G257" i="13"/>
  <c r="H257" i="13" s="1"/>
  <c r="K256" i="13"/>
  <c r="H256" i="13"/>
  <c r="G256" i="13"/>
  <c r="L255" i="13"/>
  <c r="H255" i="13"/>
  <c r="O255" i="13" s="1"/>
  <c r="K254" i="13"/>
  <c r="G254" i="13"/>
  <c r="H254" i="13" s="1"/>
  <c r="L253" i="13"/>
  <c r="H253" i="13"/>
  <c r="O253" i="13" s="1"/>
  <c r="L252" i="13"/>
  <c r="H252" i="13"/>
  <c r="O252" i="13" s="1"/>
  <c r="L251" i="13"/>
  <c r="H251" i="13"/>
  <c r="O251" i="13" s="1"/>
  <c r="L250" i="13"/>
  <c r="H250" i="13"/>
  <c r="O250" i="13" s="1"/>
  <c r="L249" i="13"/>
  <c r="H249" i="13"/>
  <c r="O249" i="13" s="1"/>
  <c r="H248" i="13"/>
  <c r="O220" i="13"/>
  <c r="N220" i="13"/>
  <c r="O214" i="13"/>
  <c r="N214" i="13"/>
  <c r="G209" i="13"/>
  <c r="G208" i="13"/>
  <c r="K208" i="13" s="1"/>
  <c r="L208" i="13" s="1"/>
  <c r="G207" i="13"/>
  <c r="K207" i="13" s="1"/>
  <c r="L207" i="13" s="1"/>
  <c r="G206" i="13"/>
  <c r="K206" i="13" s="1"/>
  <c r="L206" i="13" s="1"/>
  <c r="K205" i="13"/>
  <c r="L205" i="13" s="1"/>
  <c r="K204" i="13"/>
  <c r="J204" i="13"/>
  <c r="H204" i="13"/>
  <c r="G204" i="13"/>
  <c r="J203" i="13"/>
  <c r="L203" i="13" s="1"/>
  <c r="N203" i="13" s="1"/>
  <c r="H203" i="13"/>
  <c r="K202" i="13"/>
  <c r="J201" i="13"/>
  <c r="L201" i="13" s="1"/>
  <c r="G201" i="13"/>
  <c r="G202" i="13" s="1"/>
  <c r="H202" i="13" s="1"/>
  <c r="K199" i="13"/>
  <c r="K198" i="13"/>
  <c r="L198" i="13"/>
  <c r="G198" i="13"/>
  <c r="G199" i="13" s="1"/>
  <c r="H199" i="13" s="1"/>
  <c r="L196" i="13"/>
  <c r="N196" i="13" s="1"/>
  <c r="H196" i="13"/>
  <c r="K195" i="13"/>
  <c r="K194" i="13"/>
  <c r="G194" i="13"/>
  <c r="H194" i="13" s="1"/>
  <c r="K193" i="13"/>
  <c r="L193" i="13" s="1"/>
  <c r="N193" i="13" s="1"/>
  <c r="G193" i="13"/>
  <c r="H193" i="13" s="1"/>
  <c r="O193" i="13" s="1"/>
  <c r="K192" i="13"/>
  <c r="L192" i="13" s="1"/>
  <c r="G192" i="13"/>
  <c r="H192" i="13" s="1"/>
  <c r="O192" i="13" s="1"/>
  <c r="K191" i="13"/>
  <c r="L191" i="13" s="1"/>
  <c r="G191" i="13"/>
  <c r="H191" i="13" s="1"/>
  <c r="O191" i="13" s="1"/>
  <c r="K190" i="13"/>
  <c r="G190" i="13"/>
  <c r="H190" i="13" s="1"/>
  <c r="K188" i="13"/>
  <c r="L188" i="13" s="1"/>
  <c r="G188" i="13"/>
  <c r="H188" i="13" s="1"/>
  <c r="O188" i="13" s="1"/>
  <c r="K187" i="13"/>
  <c r="G187" i="13"/>
  <c r="H187" i="13" s="1"/>
  <c r="O187" i="13" s="1"/>
  <c r="K186" i="13"/>
  <c r="G186" i="13"/>
  <c r="H186" i="13" s="1"/>
  <c r="O186" i="13" s="1"/>
  <c r="K185" i="13"/>
  <c r="G185" i="13"/>
  <c r="H185" i="13" s="1"/>
  <c r="O185" i="13" s="1"/>
  <c r="L184" i="13"/>
  <c r="H184" i="13"/>
  <c r="O184" i="13" s="1"/>
  <c r="L183" i="13"/>
  <c r="K183" i="13"/>
  <c r="H183" i="13"/>
  <c r="G183" i="13"/>
  <c r="L182" i="13"/>
  <c r="K182" i="13"/>
  <c r="H182" i="13"/>
  <c r="G182" i="13"/>
  <c r="K181" i="13"/>
  <c r="G181" i="13"/>
  <c r="H181" i="13" s="1"/>
  <c r="L180" i="13"/>
  <c r="H180" i="13"/>
  <c r="N180" i="13" s="1"/>
  <c r="K179" i="13"/>
  <c r="H179" i="13"/>
  <c r="G179" i="13"/>
  <c r="L178" i="13"/>
  <c r="H178" i="13"/>
  <c r="O178" i="13" s="1"/>
  <c r="L177" i="13"/>
  <c r="N177" i="13" s="1"/>
  <c r="H177" i="13"/>
  <c r="O177" i="13" s="1"/>
  <c r="L176" i="13"/>
  <c r="H176" i="13"/>
  <c r="O176" i="13" s="1"/>
  <c r="L175" i="13"/>
  <c r="N175" i="13" s="1"/>
  <c r="H175" i="13"/>
  <c r="O175" i="13" s="1"/>
  <c r="L174" i="13"/>
  <c r="H174" i="13"/>
  <c r="O174" i="13" s="1"/>
  <c r="H173" i="13"/>
  <c r="O145" i="13"/>
  <c r="N145" i="13"/>
  <c r="O139" i="13"/>
  <c r="N139" i="13"/>
  <c r="G134" i="13"/>
  <c r="G133" i="13"/>
  <c r="K133" i="13" s="1"/>
  <c r="L133" i="13" s="1"/>
  <c r="G132" i="13"/>
  <c r="K132" i="13" s="1"/>
  <c r="L132" i="13" s="1"/>
  <c r="G131" i="13"/>
  <c r="K131" i="13" s="1"/>
  <c r="L131" i="13" s="1"/>
  <c r="G130" i="13"/>
  <c r="K130" i="13" s="1"/>
  <c r="L130" i="13" s="1"/>
  <c r="K129" i="13"/>
  <c r="J129" i="13"/>
  <c r="H129" i="13"/>
  <c r="G129" i="13"/>
  <c r="J128" i="13"/>
  <c r="L128" i="13" s="1"/>
  <c r="N128" i="13" s="1"/>
  <c r="H128" i="13"/>
  <c r="K127" i="13"/>
  <c r="J126" i="13"/>
  <c r="L126" i="13" s="1"/>
  <c r="G126" i="13"/>
  <c r="G127" i="13" s="1"/>
  <c r="H127" i="13" s="1"/>
  <c r="K123" i="13"/>
  <c r="K124" i="13" s="1"/>
  <c r="L123" i="13"/>
  <c r="G123" i="13"/>
  <c r="G124" i="13" s="1"/>
  <c r="H124" i="13" s="1"/>
  <c r="L121" i="13"/>
  <c r="N121" i="13" s="1"/>
  <c r="H121" i="13"/>
  <c r="K120" i="13"/>
  <c r="K119" i="13"/>
  <c r="G119" i="13"/>
  <c r="H119" i="13" s="1"/>
  <c r="K118" i="13"/>
  <c r="L118" i="13" s="1"/>
  <c r="G118" i="13"/>
  <c r="H118" i="13" s="1"/>
  <c r="O118" i="13" s="1"/>
  <c r="K117" i="13"/>
  <c r="L117" i="13" s="1"/>
  <c r="G117" i="13"/>
  <c r="H117" i="13" s="1"/>
  <c r="O117" i="13" s="1"/>
  <c r="K116" i="13"/>
  <c r="L116" i="13" s="1"/>
  <c r="G116" i="13"/>
  <c r="H116" i="13" s="1"/>
  <c r="O116" i="13" s="1"/>
  <c r="K115" i="13"/>
  <c r="H115" i="13"/>
  <c r="G115" i="13"/>
  <c r="L113" i="13"/>
  <c r="K113" i="13"/>
  <c r="H113" i="13"/>
  <c r="O113" i="13" s="1"/>
  <c r="G113" i="13"/>
  <c r="K112" i="13"/>
  <c r="H112" i="13"/>
  <c r="O112" i="13" s="1"/>
  <c r="G112" i="13"/>
  <c r="K111" i="13"/>
  <c r="H111" i="13"/>
  <c r="O111" i="13" s="1"/>
  <c r="G111" i="13"/>
  <c r="K110" i="13"/>
  <c r="G110" i="13"/>
  <c r="H110" i="13" s="1"/>
  <c r="O110" i="13" s="1"/>
  <c r="L109" i="13"/>
  <c r="H109" i="13"/>
  <c r="N109" i="13" s="1"/>
  <c r="K108" i="13"/>
  <c r="L108" i="13" s="1"/>
  <c r="G108" i="13"/>
  <c r="H108" i="13" s="1"/>
  <c r="K107" i="13"/>
  <c r="L107" i="13" s="1"/>
  <c r="G107" i="13"/>
  <c r="H107" i="13" s="1"/>
  <c r="K106" i="13"/>
  <c r="H106" i="13"/>
  <c r="G106" i="13"/>
  <c r="L105" i="13"/>
  <c r="H105" i="13"/>
  <c r="O105" i="13" s="1"/>
  <c r="K104" i="13"/>
  <c r="G104" i="13"/>
  <c r="H104" i="13" s="1"/>
  <c r="L103" i="13"/>
  <c r="H103" i="13"/>
  <c r="N103" i="13" s="1"/>
  <c r="L102" i="13"/>
  <c r="H102" i="13"/>
  <c r="N102" i="13" s="1"/>
  <c r="L101" i="13"/>
  <c r="H101" i="13"/>
  <c r="N101" i="13" s="1"/>
  <c r="L100" i="13"/>
  <c r="H100" i="13"/>
  <c r="N100" i="13" s="1"/>
  <c r="L99" i="13"/>
  <c r="H99" i="13"/>
  <c r="N99" i="13" s="1"/>
  <c r="H98" i="13"/>
  <c r="O70" i="13"/>
  <c r="N70" i="13"/>
  <c r="O64" i="13"/>
  <c r="N64" i="13"/>
  <c r="G59" i="13"/>
  <c r="H59" i="13" s="1"/>
  <c r="G58" i="13"/>
  <c r="H58" i="13" s="1"/>
  <c r="G57" i="13"/>
  <c r="H57" i="13" s="1"/>
  <c r="G56" i="13"/>
  <c r="H56" i="13" s="1"/>
  <c r="G55" i="13"/>
  <c r="H55" i="13" s="1"/>
  <c r="K54" i="13"/>
  <c r="J54" i="13"/>
  <c r="H54" i="13"/>
  <c r="G54" i="13"/>
  <c r="J53" i="13"/>
  <c r="L53" i="13" s="1"/>
  <c r="N53" i="13" s="1"/>
  <c r="H53" i="13"/>
  <c r="K52" i="13"/>
  <c r="J51" i="13"/>
  <c r="L51" i="13" s="1"/>
  <c r="G51" i="13"/>
  <c r="G52" i="13" s="1"/>
  <c r="H52" i="13" s="1"/>
  <c r="K49" i="13"/>
  <c r="K48" i="13"/>
  <c r="L48" i="13"/>
  <c r="G48" i="13"/>
  <c r="G49" i="13" s="1"/>
  <c r="H49" i="13" s="1"/>
  <c r="L46" i="13"/>
  <c r="N46" i="13" s="1"/>
  <c r="H46" i="13"/>
  <c r="K45" i="13"/>
  <c r="G45" i="13"/>
  <c r="K44" i="13"/>
  <c r="G44" i="13"/>
  <c r="H44" i="13" s="1"/>
  <c r="K43" i="13"/>
  <c r="L43" i="13" s="1"/>
  <c r="G43" i="13"/>
  <c r="H43" i="13" s="1"/>
  <c r="O43" i="13" s="1"/>
  <c r="K42" i="13"/>
  <c r="L42" i="13" s="1"/>
  <c r="G42" i="13"/>
  <c r="H42" i="13" s="1"/>
  <c r="O42" i="13" s="1"/>
  <c r="K41" i="13"/>
  <c r="L41" i="13" s="1"/>
  <c r="G41" i="13"/>
  <c r="H41" i="13" s="1"/>
  <c r="O41" i="13" s="1"/>
  <c r="K40" i="13"/>
  <c r="H40" i="13"/>
  <c r="G40" i="13"/>
  <c r="L38" i="13"/>
  <c r="K38" i="13"/>
  <c r="H38" i="13"/>
  <c r="O38" i="13" s="1"/>
  <c r="G38" i="13"/>
  <c r="K37" i="13"/>
  <c r="H37" i="13"/>
  <c r="O37" i="13" s="1"/>
  <c r="G37" i="13"/>
  <c r="K36" i="13"/>
  <c r="H36" i="13"/>
  <c r="O36" i="13" s="1"/>
  <c r="G36" i="13"/>
  <c r="K35" i="13"/>
  <c r="G35" i="13"/>
  <c r="H35" i="13" s="1"/>
  <c r="O35" i="13" s="1"/>
  <c r="L34" i="13"/>
  <c r="H34" i="13"/>
  <c r="O34" i="13" s="1"/>
  <c r="K33" i="13"/>
  <c r="L33" i="13" s="1"/>
  <c r="G33" i="13"/>
  <c r="H33" i="13" s="1"/>
  <c r="K32" i="13"/>
  <c r="L32" i="13" s="1"/>
  <c r="G32" i="13"/>
  <c r="H32" i="13" s="1"/>
  <c r="K31" i="13"/>
  <c r="H31" i="13"/>
  <c r="G31" i="13"/>
  <c r="L30" i="13"/>
  <c r="H30" i="13"/>
  <c r="O30" i="13" s="1"/>
  <c r="K29" i="13"/>
  <c r="G29" i="13"/>
  <c r="H29" i="13" s="1"/>
  <c r="L28" i="13"/>
  <c r="H28" i="13"/>
  <c r="O28" i="13" s="1"/>
  <c r="L27" i="13"/>
  <c r="H27" i="13"/>
  <c r="O27" i="13" s="1"/>
  <c r="L26" i="13"/>
  <c r="H26" i="13"/>
  <c r="O26" i="13" s="1"/>
  <c r="L25" i="13"/>
  <c r="H25" i="13"/>
  <c r="O25" i="13" s="1"/>
  <c r="L24" i="13"/>
  <c r="H24" i="13"/>
  <c r="O24" i="13" s="1"/>
  <c r="H23" i="13"/>
  <c r="K45" i="6"/>
  <c r="G45" i="6"/>
  <c r="G45" i="5"/>
  <c r="O295" i="6"/>
  <c r="N295" i="6"/>
  <c r="O289" i="6"/>
  <c r="N289" i="6"/>
  <c r="G284" i="6"/>
  <c r="H283" i="6"/>
  <c r="H282" i="6"/>
  <c r="H281" i="6"/>
  <c r="H280" i="6"/>
  <c r="K279" i="6"/>
  <c r="J279" i="6"/>
  <c r="G279" i="6"/>
  <c r="H279" i="6" s="1"/>
  <c r="L278" i="6"/>
  <c r="J278" i="6"/>
  <c r="H278" i="6"/>
  <c r="K277" i="6"/>
  <c r="L277" i="6" s="1"/>
  <c r="J276" i="6"/>
  <c r="G276" i="6"/>
  <c r="G277" i="6" s="1"/>
  <c r="H277" i="6" s="1"/>
  <c r="K274" i="6"/>
  <c r="L274" i="6" s="1"/>
  <c r="G273" i="6"/>
  <c r="G274" i="6" s="1"/>
  <c r="H274" i="6" s="1"/>
  <c r="L271" i="6"/>
  <c r="H271" i="6"/>
  <c r="K269" i="6"/>
  <c r="G269" i="6"/>
  <c r="H269" i="6" s="1"/>
  <c r="K268" i="6"/>
  <c r="L268" i="6" s="1"/>
  <c r="G268" i="6"/>
  <c r="H268" i="6" s="1"/>
  <c r="O268" i="6" s="1"/>
  <c r="K267" i="6"/>
  <c r="L267" i="6" s="1"/>
  <c r="G267" i="6"/>
  <c r="H267" i="6" s="1"/>
  <c r="O267" i="6" s="1"/>
  <c r="K266" i="6"/>
  <c r="L266" i="6" s="1"/>
  <c r="G266" i="6"/>
  <c r="H266" i="6" s="1"/>
  <c r="O266" i="6" s="1"/>
  <c r="K265" i="6"/>
  <c r="G265" i="6"/>
  <c r="H265" i="6" s="1"/>
  <c r="K263" i="6"/>
  <c r="L263" i="6" s="1"/>
  <c r="G263" i="6"/>
  <c r="H263" i="6" s="1"/>
  <c r="O263" i="6" s="1"/>
  <c r="K262" i="6"/>
  <c r="G262" i="6"/>
  <c r="H262" i="6" s="1"/>
  <c r="O262" i="6" s="1"/>
  <c r="K261" i="6"/>
  <c r="G261" i="6"/>
  <c r="H261" i="6" s="1"/>
  <c r="O261" i="6" s="1"/>
  <c r="K260" i="6"/>
  <c r="G260" i="6"/>
  <c r="H260" i="6" s="1"/>
  <c r="O260" i="6" s="1"/>
  <c r="L259" i="6"/>
  <c r="H259" i="6"/>
  <c r="O259" i="6" s="1"/>
  <c r="K258" i="6"/>
  <c r="L258" i="6" s="1"/>
  <c r="G258" i="6"/>
  <c r="H258" i="6" s="1"/>
  <c r="K257" i="6"/>
  <c r="L257" i="6" s="1"/>
  <c r="G257" i="6"/>
  <c r="H257" i="6" s="1"/>
  <c r="K256" i="6"/>
  <c r="H256" i="6"/>
  <c r="G256" i="6"/>
  <c r="L255" i="6"/>
  <c r="H255" i="6"/>
  <c r="O255" i="6" s="1"/>
  <c r="K254" i="6"/>
  <c r="G254" i="6"/>
  <c r="H254" i="6" s="1"/>
  <c r="L253" i="6"/>
  <c r="H253" i="6"/>
  <c r="O253" i="6" s="1"/>
  <c r="L252" i="6"/>
  <c r="H252" i="6"/>
  <c r="O252" i="6" s="1"/>
  <c r="L251" i="6"/>
  <c r="H251" i="6"/>
  <c r="O251" i="6" s="1"/>
  <c r="L250" i="6"/>
  <c r="H250" i="6"/>
  <c r="O250" i="6" s="1"/>
  <c r="L249" i="6"/>
  <c r="H249" i="6"/>
  <c r="O249" i="6" s="1"/>
  <c r="H248" i="6"/>
  <c r="O220" i="6"/>
  <c r="N220" i="6"/>
  <c r="O214" i="6"/>
  <c r="N214" i="6"/>
  <c r="G209" i="6"/>
  <c r="G208" i="6"/>
  <c r="H208" i="6" s="1"/>
  <c r="G207" i="6"/>
  <c r="H207" i="6" s="1"/>
  <c r="G206" i="6"/>
  <c r="H206" i="6" s="1"/>
  <c r="G205" i="6"/>
  <c r="H205" i="6" s="1"/>
  <c r="K204" i="6"/>
  <c r="J204" i="6"/>
  <c r="H204" i="6"/>
  <c r="G204" i="6"/>
  <c r="J203" i="6"/>
  <c r="L203" i="6" s="1"/>
  <c r="N203" i="6" s="1"/>
  <c r="H203" i="6"/>
  <c r="K202" i="6"/>
  <c r="J201" i="6"/>
  <c r="L201" i="6" s="1"/>
  <c r="G201" i="6"/>
  <c r="G202" i="6" s="1"/>
  <c r="H202" i="6" s="1"/>
  <c r="K198" i="6"/>
  <c r="K199" i="6" s="1"/>
  <c r="L199" i="6" s="1"/>
  <c r="G198" i="6"/>
  <c r="G199" i="6" s="1"/>
  <c r="H199" i="6" s="1"/>
  <c r="L196" i="6"/>
  <c r="N196" i="6" s="1"/>
  <c r="H196" i="6"/>
  <c r="K194" i="6"/>
  <c r="G194" i="6"/>
  <c r="H194" i="6" s="1"/>
  <c r="K193" i="6"/>
  <c r="L193" i="6" s="1"/>
  <c r="N193" i="6" s="1"/>
  <c r="G193" i="6"/>
  <c r="H193" i="6" s="1"/>
  <c r="O193" i="6" s="1"/>
  <c r="K192" i="6"/>
  <c r="L192" i="6" s="1"/>
  <c r="G192" i="6"/>
  <c r="H192" i="6" s="1"/>
  <c r="O192" i="6" s="1"/>
  <c r="K191" i="6"/>
  <c r="L191" i="6" s="1"/>
  <c r="G191" i="6"/>
  <c r="H191" i="6" s="1"/>
  <c r="O191" i="6" s="1"/>
  <c r="K190" i="6"/>
  <c r="G190" i="6"/>
  <c r="H190" i="6" s="1"/>
  <c r="K188" i="6"/>
  <c r="L188" i="6" s="1"/>
  <c r="G188" i="6"/>
  <c r="H188" i="6" s="1"/>
  <c r="O188" i="6" s="1"/>
  <c r="K187" i="6"/>
  <c r="G187" i="6"/>
  <c r="H187" i="6" s="1"/>
  <c r="O187" i="6" s="1"/>
  <c r="K186" i="6"/>
  <c r="G186" i="6"/>
  <c r="H186" i="6" s="1"/>
  <c r="O186" i="6" s="1"/>
  <c r="K185" i="6"/>
  <c r="G185" i="6"/>
  <c r="H185" i="6" s="1"/>
  <c r="O185" i="6" s="1"/>
  <c r="L184" i="6"/>
  <c r="H184" i="6"/>
  <c r="O184" i="6" s="1"/>
  <c r="K183" i="6"/>
  <c r="L183" i="6" s="1"/>
  <c r="G183" i="6"/>
  <c r="H183" i="6" s="1"/>
  <c r="K182" i="6"/>
  <c r="L182" i="6" s="1"/>
  <c r="G182" i="6"/>
  <c r="H182" i="6" s="1"/>
  <c r="K181" i="6"/>
  <c r="H181" i="6"/>
  <c r="G181" i="6"/>
  <c r="L180" i="6"/>
  <c r="H180" i="6"/>
  <c r="O180" i="6" s="1"/>
  <c r="K179" i="6"/>
  <c r="G179" i="6"/>
  <c r="H179" i="6" s="1"/>
  <c r="L178" i="6"/>
  <c r="H178" i="6"/>
  <c r="O178" i="6" s="1"/>
  <c r="L177" i="6"/>
  <c r="H177" i="6"/>
  <c r="O177" i="6" s="1"/>
  <c r="L176" i="6"/>
  <c r="H176" i="6"/>
  <c r="O176" i="6" s="1"/>
  <c r="L175" i="6"/>
  <c r="H175" i="6"/>
  <c r="O175" i="6" s="1"/>
  <c r="L174" i="6"/>
  <c r="H174" i="6"/>
  <c r="O174" i="6" s="1"/>
  <c r="H173" i="6"/>
  <c r="O145" i="6"/>
  <c r="N145" i="6"/>
  <c r="O139" i="6"/>
  <c r="N139" i="6"/>
  <c r="G134" i="6"/>
  <c r="G133" i="6"/>
  <c r="H133" i="6" s="1"/>
  <c r="G132" i="6"/>
  <c r="H132" i="6" s="1"/>
  <c r="G131" i="6"/>
  <c r="H131" i="6" s="1"/>
  <c r="G130" i="6"/>
  <c r="H130" i="6" s="1"/>
  <c r="K129" i="6"/>
  <c r="J129" i="6"/>
  <c r="H129" i="6"/>
  <c r="G129" i="6"/>
  <c r="J128" i="6"/>
  <c r="L128" i="6" s="1"/>
  <c r="N128" i="6" s="1"/>
  <c r="H128" i="6"/>
  <c r="K127" i="6"/>
  <c r="J126" i="6"/>
  <c r="L126" i="6" s="1"/>
  <c r="G126" i="6"/>
  <c r="G127" i="6" s="1"/>
  <c r="H127" i="6" s="1"/>
  <c r="K123" i="6"/>
  <c r="K124" i="6" s="1"/>
  <c r="L124" i="6" s="1"/>
  <c r="G123" i="6"/>
  <c r="G124" i="6" s="1"/>
  <c r="H124" i="6" s="1"/>
  <c r="L121" i="6"/>
  <c r="N121" i="6" s="1"/>
  <c r="H121" i="6"/>
  <c r="K119" i="6"/>
  <c r="G119" i="6"/>
  <c r="H119" i="6" s="1"/>
  <c r="K118" i="6"/>
  <c r="L118" i="6" s="1"/>
  <c r="N118" i="6" s="1"/>
  <c r="G118" i="6"/>
  <c r="H118" i="6" s="1"/>
  <c r="O118" i="6" s="1"/>
  <c r="K117" i="6"/>
  <c r="L117" i="6" s="1"/>
  <c r="G117" i="6"/>
  <c r="H117" i="6" s="1"/>
  <c r="O117" i="6" s="1"/>
  <c r="K116" i="6"/>
  <c r="L116" i="6" s="1"/>
  <c r="G116" i="6"/>
  <c r="H116" i="6" s="1"/>
  <c r="O116" i="6" s="1"/>
  <c r="K115" i="6"/>
  <c r="G115" i="6"/>
  <c r="H115" i="6" s="1"/>
  <c r="K113" i="6"/>
  <c r="L113" i="6" s="1"/>
  <c r="G113" i="6"/>
  <c r="H113" i="6" s="1"/>
  <c r="O113" i="6" s="1"/>
  <c r="K112" i="6"/>
  <c r="G112" i="6"/>
  <c r="H112" i="6" s="1"/>
  <c r="O112" i="6" s="1"/>
  <c r="K111" i="6"/>
  <c r="G111" i="6"/>
  <c r="H111" i="6" s="1"/>
  <c r="O111" i="6" s="1"/>
  <c r="K110" i="6"/>
  <c r="G110" i="6"/>
  <c r="H110" i="6" s="1"/>
  <c r="O110" i="6" s="1"/>
  <c r="L109" i="6"/>
  <c r="H109" i="6"/>
  <c r="O109" i="6" s="1"/>
  <c r="K108" i="6"/>
  <c r="L108" i="6" s="1"/>
  <c r="G108" i="6"/>
  <c r="H108" i="6" s="1"/>
  <c r="K107" i="6"/>
  <c r="L107" i="6" s="1"/>
  <c r="G107" i="6"/>
  <c r="H107" i="6" s="1"/>
  <c r="K106" i="6"/>
  <c r="H106" i="6"/>
  <c r="G106" i="6"/>
  <c r="L105" i="6"/>
  <c r="N105" i="6" s="1"/>
  <c r="H105" i="6"/>
  <c r="O105" i="6" s="1"/>
  <c r="K104" i="6"/>
  <c r="G104" i="6"/>
  <c r="H104" i="6" s="1"/>
  <c r="L103" i="6"/>
  <c r="H103" i="6"/>
  <c r="O103" i="6" s="1"/>
  <c r="L102" i="6"/>
  <c r="N102" i="6" s="1"/>
  <c r="H102" i="6"/>
  <c r="O102" i="6" s="1"/>
  <c r="L101" i="6"/>
  <c r="H101" i="6"/>
  <c r="O101" i="6" s="1"/>
  <c r="L100" i="6"/>
  <c r="N100" i="6" s="1"/>
  <c r="H100" i="6"/>
  <c r="O100" i="6" s="1"/>
  <c r="L99" i="6"/>
  <c r="H99" i="6"/>
  <c r="O99" i="6" s="1"/>
  <c r="H98" i="6"/>
  <c r="K44" i="6"/>
  <c r="K43" i="6"/>
  <c r="K42" i="6"/>
  <c r="K41" i="6"/>
  <c r="K40" i="6"/>
  <c r="K38" i="6"/>
  <c r="K37" i="6"/>
  <c r="K36" i="6"/>
  <c r="K35" i="6"/>
  <c r="K33" i="6"/>
  <c r="K32" i="6"/>
  <c r="K31" i="6"/>
  <c r="K29" i="6"/>
  <c r="G57" i="6"/>
  <c r="G56" i="6"/>
  <c r="G55" i="6"/>
  <c r="G44" i="6"/>
  <c r="G43" i="6"/>
  <c r="G42" i="6"/>
  <c r="G41" i="6"/>
  <c r="G40" i="6"/>
  <c r="G38" i="6"/>
  <c r="G37" i="6"/>
  <c r="G36" i="6"/>
  <c r="G35" i="6"/>
  <c r="G33" i="6"/>
  <c r="G32" i="6"/>
  <c r="G31" i="6"/>
  <c r="G29" i="6"/>
  <c r="G133" i="5"/>
  <c r="H133" i="5" s="1"/>
  <c r="G132" i="5"/>
  <c r="H132" i="5" s="1"/>
  <c r="G131" i="5"/>
  <c r="H131" i="5" s="1"/>
  <c r="G130" i="5"/>
  <c r="H130" i="5" s="1"/>
  <c r="G129" i="5"/>
  <c r="H129" i="5" s="1"/>
  <c r="K128" i="5"/>
  <c r="J128" i="5"/>
  <c r="H128" i="5"/>
  <c r="G128" i="5"/>
  <c r="L127" i="5"/>
  <c r="J127" i="5"/>
  <c r="H127" i="5"/>
  <c r="J125" i="5"/>
  <c r="K122" i="5"/>
  <c r="K123" i="5" s="1"/>
  <c r="K125" i="5" s="1"/>
  <c r="G122" i="5"/>
  <c r="G123" i="5" s="1"/>
  <c r="L120" i="5"/>
  <c r="N120" i="5" s="1"/>
  <c r="H120" i="5"/>
  <c r="K118" i="5"/>
  <c r="G118" i="5"/>
  <c r="H118" i="5" s="1"/>
  <c r="K117" i="5"/>
  <c r="L117" i="5" s="1"/>
  <c r="G117" i="5"/>
  <c r="H117" i="5" s="1"/>
  <c r="O117" i="5" s="1"/>
  <c r="K116" i="5"/>
  <c r="L116" i="5" s="1"/>
  <c r="G116" i="5"/>
  <c r="H116" i="5" s="1"/>
  <c r="O116" i="5" s="1"/>
  <c r="K115" i="5"/>
  <c r="L115" i="5" s="1"/>
  <c r="G115" i="5"/>
  <c r="H115" i="5" s="1"/>
  <c r="O115" i="5" s="1"/>
  <c r="K114" i="5"/>
  <c r="G114" i="5"/>
  <c r="H114" i="5" s="1"/>
  <c r="K112" i="5"/>
  <c r="L112" i="5" s="1"/>
  <c r="G112" i="5"/>
  <c r="H112" i="5" s="1"/>
  <c r="O112" i="5" s="1"/>
  <c r="K111" i="5"/>
  <c r="G111" i="5"/>
  <c r="H111" i="5" s="1"/>
  <c r="O111" i="5" s="1"/>
  <c r="K110" i="5"/>
  <c r="H110" i="5"/>
  <c r="O110" i="5" s="1"/>
  <c r="G110" i="5"/>
  <c r="K109" i="5"/>
  <c r="G109" i="5"/>
  <c r="H109" i="5" s="1"/>
  <c r="O109" i="5" s="1"/>
  <c r="H108" i="5"/>
  <c r="O108" i="5" s="1"/>
  <c r="K107" i="5"/>
  <c r="L107" i="5" s="1"/>
  <c r="G107" i="5"/>
  <c r="H107" i="5" s="1"/>
  <c r="K106" i="5"/>
  <c r="L106" i="5" s="1"/>
  <c r="G106" i="5"/>
  <c r="H106" i="5" s="1"/>
  <c r="K105" i="5"/>
  <c r="G105" i="5"/>
  <c r="H105" i="5" s="1"/>
  <c r="O105" i="5" s="1"/>
  <c r="L104" i="5"/>
  <c r="H104" i="5"/>
  <c r="K103" i="5"/>
  <c r="G103" i="5"/>
  <c r="H103" i="5" s="1"/>
  <c r="L102" i="5"/>
  <c r="H102" i="5"/>
  <c r="O102" i="5" s="1"/>
  <c r="L101" i="5"/>
  <c r="H101" i="5"/>
  <c r="O101" i="5" s="1"/>
  <c r="L100" i="5"/>
  <c r="H100" i="5"/>
  <c r="O100" i="5" s="1"/>
  <c r="L99" i="5"/>
  <c r="H99" i="5"/>
  <c r="O99" i="5" s="1"/>
  <c r="L98" i="5"/>
  <c r="H98" i="5"/>
  <c r="H97" i="5"/>
  <c r="L122" i="5" l="1"/>
  <c r="N179" i="8"/>
  <c r="O206" i="8"/>
  <c r="N177" i="8"/>
  <c r="N181" i="8"/>
  <c r="L205" i="8"/>
  <c r="L207" i="8"/>
  <c r="L129" i="8"/>
  <c r="N129" i="8" s="1"/>
  <c r="O129" i="8" s="1"/>
  <c r="O130" i="8"/>
  <c r="L131" i="8"/>
  <c r="N101" i="8"/>
  <c r="N103" i="8"/>
  <c r="N105" i="8"/>
  <c r="N263" i="13"/>
  <c r="O278" i="13"/>
  <c r="L279" i="13"/>
  <c r="N279" i="13" s="1"/>
  <c r="O279" i="13" s="1"/>
  <c r="N255" i="13"/>
  <c r="N268" i="13"/>
  <c r="L277" i="13"/>
  <c r="N174" i="13"/>
  <c r="N176" i="13"/>
  <c r="N178" i="13"/>
  <c r="N182" i="13"/>
  <c r="O182" i="13" s="1"/>
  <c r="N183" i="13"/>
  <c r="O183" i="13" s="1"/>
  <c r="N184" i="13"/>
  <c r="N188" i="13"/>
  <c r="L202" i="13"/>
  <c r="N202" i="13" s="1"/>
  <c r="O202" i="13" s="1"/>
  <c r="O203" i="13"/>
  <c r="L204" i="13"/>
  <c r="N204" i="13" s="1"/>
  <c r="O204" i="13" s="1"/>
  <c r="N113" i="13"/>
  <c r="O128" i="13"/>
  <c r="L129" i="13"/>
  <c r="N129" i="13" s="1"/>
  <c r="O129" i="13" s="1"/>
  <c r="H114" i="13"/>
  <c r="N105" i="13"/>
  <c r="L127" i="13"/>
  <c r="N38" i="13"/>
  <c r="L52" i="13"/>
  <c r="N52" i="13" s="1"/>
  <c r="O52" i="13" s="1"/>
  <c r="N30" i="13"/>
  <c r="N32" i="13"/>
  <c r="N33" i="13"/>
  <c r="O53" i="13"/>
  <c r="L54" i="13"/>
  <c r="N54" i="13" s="1"/>
  <c r="O54" i="13" s="1"/>
  <c r="N255" i="6"/>
  <c r="N263" i="6"/>
  <c r="N268" i="6"/>
  <c r="N271" i="6"/>
  <c r="L279" i="6"/>
  <c r="O278" i="6"/>
  <c r="N278" i="6"/>
  <c r="L202" i="6"/>
  <c r="O203" i="6"/>
  <c r="L204" i="6"/>
  <c r="N180" i="6"/>
  <c r="N99" i="6"/>
  <c r="N101" i="6"/>
  <c r="N113" i="6"/>
  <c r="L127" i="6"/>
  <c r="O128" i="6"/>
  <c r="L129" i="6"/>
  <c r="N112" i="5"/>
  <c r="N127" i="5"/>
  <c r="O127" i="5" s="1"/>
  <c r="L128" i="5"/>
  <c r="L125" i="5"/>
  <c r="H134" i="6"/>
  <c r="F120" i="6"/>
  <c r="H209" i="6"/>
  <c r="F195" i="6"/>
  <c r="H284" i="6"/>
  <c r="F270" i="6"/>
  <c r="H284" i="13"/>
  <c r="F270" i="13"/>
  <c r="K59" i="13"/>
  <c r="L59" i="13" s="1"/>
  <c r="N59" i="13" s="1"/>
  <c r="F45" i="13"/>
  <c r="J45" i="13" s="1"/>
  <c r="L45" i="13" s="1"/>
  <c r="K134" i="13"/>
  <c r="L134" i="13" s="1"/>
  <c r="F120" i="13"/>
  <c r="K209" i="13"/>
  <c r="L209" i="13" s="1"/>
  <c r="F195" i="13"/>
  <c r="L198" i="8"/>
  <c r="N198" i="8" s="1"/>
  <c r="O198" i="8" s="1"/>
  <c r="H122" i="8"/>
  <c r="N122" i="8" s="1"/>
  <c r="O207" i="8"/>
  <c r="N207" i="8"/>
  <c r="N191" i="8"/>
  <c r="N195" i="8"/>
  <c r="H192" i="8"/>
  <c r="O185" i="8"/>
  <c r="N185" i="8"/>
  <c r="N186" i="8"/>
  <c r="O186" i="8" s="1"/>
  <c r="L201" i="8"/>
  <c r="N131" i="8"/>
  <c r="O131" i="8" s="1"/>
  <c r="N115" i="8"/>
  <c r="N109" i="8"/>
  <c r="O109" i="8" s="1"/>
  <c r="N110" i="8"/>
  <c r="O110" i="8" s="1"/>
  <c r="L125" i="8"/>
  <c r="H116" i="8"/>
  <c r="H124" i="8" s="1"/>
  <c r="H200" i="8"/>
  <c r="N194" i="8"/>
  <c r="N202" i="8"/>
  <c r="O202" i="8" s="1"/>
  <c r="N205" i="8"/>
  <c r="O205" i="8" s="1"/>
  <c r="N183" i="8"/>
  <c r="L208" i="8"/>
  <c r="N208" i="8" s="1"/>
  <c r="O208" i="8" s="1"/>
  <c r="L209" i="8"/>
  <c r="N209" i="8" s="1"/>
  <c r="O209" i="8" s="1"/>
  <c r="L210" i="8"/>
  <c r="N210" i="8" s="1"/>
  <c r="O210" i="8" s="1"/>
  <c r="L211" i="8"/>
  <c r="L212" i="8"/>
  <c r="N212" i="8" s="1"/>
  <c r="O212" i="8" s="1"/>
  <c r="H201" i="8"/>
  <c r="H204" i="8"/>
  <c r="N118" i="8"/>
  <c r="N119" i="8"/>
  <c r="N120" i="8"/>
  <c r="N126" i="8"/>
  <c r="O126" i="8" s="1"/>
  <c r="N107" i="8"/>
  <c r="L132" i="8"/>
  <c r="N132" i="8" s="1"/>
  <c r="O132" i="8" s="1"/>
  <c r="L133" i="8"/>
  <c r="N133" i="8" s="1"/>
  <c r="O133" i="8" s="1"/>
  <c r="L134" i="8"/>
  <c r="N134" i="8" s="1"/>
  <c r="O134" i="8" s="1"/>
  <c r="L135" i="8"/>
  <c r="L136" i="8"/>
  <c r="N136" i="8" s="1"/>
  <c r="O136" i="8" s="1"/>
  <c r="H125" i="8"/>
  <c r="H128" i="8"/>
  <c r="L274" i="13"/>
  <c r="N274" i="13" s="1"/>
  <c r="O274" i="13" s="1"/>
  <c r="L199" i="13"/>
  <c r="N199" i="13" s="1"/>
  <c r="O199" i="13" s="1"/>
  <c r="L124" i="13"/>
  <c r="N124" i="13" s="1"/>
  <c r="O124" i="13" s="1"/>
  <c r="L49" i="13"/>
  <c r="N49" i="13" s="1"/>
  <c r="O49" i="13" s="1"/>
  <c r="N24" i="13"/>
  <c r="N25" i="13"/>
  <c r="N26" i="13"/>
  <c r="N27" i="13"/>
  <c r="N28" i="13"/>
  <c r="N116" i="13"/>
  <c r="N117" i="13"/>
  <c r="N118" i="13"/>
  <c r="H39" i="13"/>
  <c r="O32" i="13"/>
  <c r="O33" i="13"/>
  <c r="N41" i="13"/>
  <c r="N42" i="13"/>
  <c r="N43" i="13"/>
  <c r="O59" i="13"/>
  <c r="N107" i="13"/>
  <c r="O107" i="13" s="1"/>
  <c r="N108" i="13"/>
  <c r="O108" i="13" s="1"/>
  <c r="N127" i="13"/>
  <c r="O127" i="13" s="1"/>
  <c r="N34" i="13"/>
  <c r="K55" i="13"/>
  <c r="L55" i="13" s="1"/>
  <c r="N55" i="13" s="1"/>
  <c r="O55" i="13" s="1"/>
  <c r="K56" i="13"/>
  <c r="L56" i="13" s="1"/>
  <c r="N56" i="13" s="1"/>
  <c r="O56" i="13" s="1"/>
  <c r="K57" i="13"/>
  <c r="L57" i="13" s="1"/>
  <c r="N57" i="13" s="1"/>
  <c r="O57" i="13" s="1"/>
  <c r="K58" i="13"/>
  <c r="L58" i="13" s="1"/>
  <c r="O99" i="13"/>
  <c r="O100" i="13"/>
  <c r="O101" i="13"/>
  <c r="O102" i="13"/>
  <c r="O103" i="13"/>
  <c r="O109" i="13"/>
  <c r="H123" i="13"/>
  <c r="H126" i="13"/>
  <c r="N126" i="13" s="1"/>
  <c r="H130" i="13"/>
  <c r="H131" i="13"/>
  <c r="H132" i="13"/>
  <c r="H133" i="13"/>
  <c r="N133" i="13" s="1"/>
  <c r="H134" i="13"/>
  <c r="O180" i="13"/>
  <c r="N191" i="13"/>
  <c r="N192" i="13"/>
  <c r="H48" i="13"/>
  <c r="H51" i="13"/>
  <c r="H189" i="13"/>
  <c r="H198" i="13"/>
  <c r="H201" i="13"/>
  <c r="H205" i="13"/>
  <c r="H206" i="13"/>
  <c r="N206" i="13" s="1"/>
  <c r="H207" i="13"/>
  <c r="H208" i="13"/>
  <c r="H209" i="13"/>
  <c r="N249" i="13"/>
  <c r="N250" i="13"/>
  <c r="N251" i="13"/>
  <c r="N252" i="13"/>
  <c r="N266" i="13"/>
  <c r="N267" i="13"/>
  <c r="H264" i="13"/>
  <c r="N253" i="13"/>
  <c r="N257" i="13"/>
  <c r="O257" i="13" s="1"/>
  <c r="N258" i="13"/>
  <c r="O258" i="13" s="1"/>
  <c r="N277" i="13"/>
  <c r="O277" i="13" s="1"/>
  <c r="N259" i="13"/>
  <c r="K280" i="13"/>
  <c r="L280" i="13" s="1"/>
  <c r="N280" i="13" s="1"/>
  <c r="O280" i="13" s="1"/>
  <c r="K281" i="13"/>
  <c r="L281" i="13" s="1"/>
  <c r="N281" i="13" s="1"/>
  <c r="O281" i="13" s="1"/>
  <c r="K282" i="13"/>
  <c r="L282" i="13" s="1"/>
  <c r="N282" i="13" s="1"/>
  <c r="O282" i="13" s="1"/>
  <c r="K283" i="13"/>
  <c r="L283" i="13" s="1"/>
  <c r="K284" i="13"/>
  <c r="L284" i="13" s="1"/>
  <c r="N284" i="13" s="1"/>
  <c r="O284" i="13" s="1"/>
  <c r="H273" i="13"/>
  <c r="H276" i="13"/>
  <c r="N276" i="13" s="1"/>
  <c r="L276" i="6"/>
  <c r="N279" i="6"/>
  <c r="O279" i="6" s="1"/>
  <c r="N266" i="6"/>
  <c r="N267" i="6"/>
  <c r="L273" i="6"/>
  <c r="N204" i="6"/>
  <c r="O204" i="6" s="1"/>
  <c r="N188" i="6"/>
  <c r="L198" i="6"/>
  <c r="N129" i="6"/>
  <c r="O129" i="6" s="1"/>
  <c r="H114" i="6"/>
  <c r="L123" i="6"/>
  <c r="N249" i="6"/>
  <c r="N250" i="6"/>
  <c r="N251" i="6"/>
  <c r="N252" i="6"/>
  <c r="N274" i="6"/>
  <c r="O274" i="6" s="1"/>
  <c r="H264" i="6"/>
  <c r="N253" i="6"/>
  <c r="N257" i="6"/>
  <c r="O257" i="6" s="1"/>
  <c r="N258" i="6"/>
  <c r="O258" i="6" s="1"/>
  <c r="N277" i="6"/>
  <c r="O277" i="6" s="1"/>
  <c r="N259" i="6"/>
  <c r="K280" i="6"/>
  <c r="L280" i="6" s="1"/>
  <c r="N280" i="6" s="1"/>
  <c r="O280" i="6" s="1"/>
  <c r="K281" i="6"/>
  <c r="L281" i="6" s="1"/>
  <c r="N281" i="6" s="1"/>
  <c r="O281" i="6" s="1"/>
  <c r="K282" i="6"/>
  <c r="L282" i="6" s="1"/>
  <c r="N282" i="6" s="1"/>
  <c r="O282" i="6" s="1"/>
  <c r="K283" i="6"/>
  <c r="L283" i="6" s="1"/>
  <c r="K284" i="6"/>
  <c r="L284" i="6" s="1"/>
  <c r="H273" i="6"/>
  <c r="H276" i="6"/>
  <c r="N174" i="6"/>
  <c r="N175" i="6"/>
  <c r="N176" i="6"/>
  <c r="N177" i="6"/>
  <c r="N191" i="6"/>
  <c r="N192" i="6"/>
  <c r="N199" i="6"/>
  <c r="O199" i="6" s="1"/>
  <c r="H189" i="6"/>
  <c r="N178" i="6"/>
  <c r="N182" i="6"/>
  <c r="O182" i="6" s="1"/>
  <c r="N183" i="6"/>
  <c r="O183" i="6" s="1"/>
  <c r="N202" i="6"/>
  <c r="O202" i="6" s="1"/>
  <c r="N184" i="6"/>
  <c r="K205" i="6"/>
  <c r="L205" i="6" s="1"/>
  <c r="N205" i="6" s="1"/>
  <c r="O205" i="6" s="1"/>
  <c r="K206" i="6"/>
  <c r="L206" i="6" s="1"/>
  <c r="N206" i="6" s="1"/>
  <c r="O206" i="6" s="1"/>
  <c r="K207" i="6"/>
  <c r="L207" i="6" s="1"/>
  <c r="N207" i="6" s="1"/>
  <c r="O207" i="6" s="1"/>
  <c r="K208" i="6"/>
  <c r="L208" i="6" s="1"/>
  <c r="K209" i="6"/>
  <c r="L209" i="6" s="1"/>
  <c r="N209" i="6" s="1"/>
  <c r="O209" i="6" s="1"/>
  <c r="H198" i="6"/>
  <c r="H201" i="6"/>
  <c r="N201" i="6" s="1"/>
  <c r="N103" i="6"/>
  <c r="N116" i="6"/>
  <c r="N117" i="6"/>
  <c r="N124" i="6"/>
  <c r="O124" i="6" s="1"/>
  <c r="N107" i="6"/>
  <c r="O107" i="6" s="1"/>
  <c r="N108" i="6"/>
  <c r="O108" i="6" s="1"/>
  <c r="N127" i="6"/>
  <c r="O127" i="6" s="1"/>
  <c r="N109" i="6"/>
  <c r="K130" i="6"/>
  <c r="L130" i="6" s="1"/>
  <c r="N130" i="6" s="1"/>
  <c r="O130" i="6" s="1"/>
  <c r="K131" i="6"/>
  <c r="L131" i="6" s="1"/>
  <c r="N131" i="6" s="1"/>
  <c r="O131" i="6" s="1"/>
  <c r="K132" i="6"/>
  <c r="L132" i="6" s="1"/>
  <c r="N132" i="6" s="1"/>
  <c r="O132" i="6" s="1"/>
  <c r="K133" i="6"/>
  <c r="L133" i="6" s="1"/>
  <c r="K134" i="6"/>
  <c r="L134" i="6" s="1"/>
  <c r="H123" i="6"/>
  <c r="H126" i="6"/>
  <c r="N126" i="6" s="1"/>
  <c r="N106" i="5"/>
  <c r="O106" i="5" s="1"/>
  <c r="N107" i="5"/>
  <c r="O107" i="5" s="1"/>
  <c r="N128" i="5"/>
  <c r="O128" i="5" s="1"/>
  <c r="N98" i="5"/>
  <c r="O98" i="5" s="1"/>
  <c r="N102" i="5"/>
  <c r="N99" i="5"/>
  <c r="N100" i="5"/>
  <c r="N101" i="5"/>
  <c r="H113" i="5"/>
  <c r="N104" i="5"/>
  <c r="O104" i="5" s="1"/>
  <c r="N115" i="5"/>
  <c r="N116" i="5"/>
  <c r="N117" i="5"/>
  <c r="N119" i="5"/>
  <c r="O119" i="5" s="1"/>
  <c r="G126" i="5"/>
  <c r="H126" i="5" s="1"/>
  <c r="G125" i="5"/>
  <c r="H125" i="5" s="1"/>
  <c r="H123" i="5"/>
  <c r="N125" i="5"/>
  <c r="K126" i="5"/>
  <c r="L126" i="5" s="1"/>
  <c r="N126" i="5" s="1"/>
  <c r="K129" i="5"/>
  <c r="L129" i="5" s="1"/>
  <c r="N129" i="5" s="1"/>
  <c r="O129" i="5" s="1"/>
  <c r="K130" i="5"/>
  <c r="L130" i="5" s="1"/>
  <c r="N130" i="5" s="1"/>
  <c r="O130" i="5" s="1"/>
  <c r="K131" i="5"/>
  <c r="L131" i="5" s="1"/>
  <c r="N131" i="5" s="1"/>
  <c r="O131" i="5" s="1"/>
  <c r="K132" i="5"/>
  <c r="L132" i="5" s="1"/>
  <c r="K133" i="5"/>
  <c r="L133" i="5" s="1"/>
  <c r="N133" i="5" s="1"/>
  <c r="O133" i="5" s="1"/>
  <c r="H122" i="5"/>
  <c r="N122" i="5" s="1"/>
  <c r="L123" i="5"/>
  <c r="N123" i="5" s="1"/>
  <c r="G358" i="5"/>
  <c r="H358" i="5" s="1"/>
  <c r="G357" i="5"/>
  <c r="H357" i="5" s="1"/>
  <c r="G356" i="5"/>
  <c r="H356" i="5" s="1"/>
  <c r="G355" i="5"/>
  <c r="H355" i="5" s="1"/>
  <c r="G354" i="5"/>
  <c r="H354" i="5" s="1"/>
  <c r="K353" i="5"/>
  <c r="J353" i="5"/>
  <c r="H353" i="5"/>
  <c r="G353" i="5"/>
  <c r="J352" i="5"/>
  <c r="L352" i="5" s="1"/>
  <c r="N352" i="5" s="1"/>
  <c r="H352" i="5"/>
  <c r="J350" i="5"/>
  <c r="K347" i="5"/>
  <c r="K348" i="5" s="1"/>
  <c r="K350" i="5" s="1"/>
  <c r="K351" i="5" s="1"/>
  <c r="G347" i="5"/>
  <c r="G348" i="5" s="1"/>
  <c r="L345" i="5"/>
  <c r="H345" i="5"/>
  <c r="K343" i="5"/>
  <c r="G343" i="5"/>
  <c r="H343" i="5" s="1"/>
  <c r="K342" i="5"/>
  <c r="L342" i="5" s="1"/>
  <c r="G342" i="5"/>
  <c r="H342" i="5" s="1"/>
  <c r="O342" i="5" s="1"/>
  <c r="K341" i="5"/>
  <c r="L341" i="5" s="1"/>
  <c r="G341" i="5"/>
  <c r="H341" i="5" s="1"/>
  <c r="O341" i="5" s="1"/>
  <c r="K340" i="5"/>
  <c r="L340" i="5" s="1"/>
  <c r="G340" i="5"/>
  <c r="H340" i="5" s="1"/>
  <c r="O340" i="5" s="1"/>
  <c r="K339" i="5"/>
  <c r="G339" i="5"/>
  <c r="H339" i="5" s="1"/>
  <c r="K337" i="5"/>
  <c r="L337" i="5" s="1"/>
  <c r="G337" i="5"/>
  <c r="H337" i="5" s="1"/>
  <c r="O337" i="5" s="1"/>
  <c r="K336" i="5"/>
  <c r="G336" i="5"/>
  <c r="H336" i="5" s="1"/>
  <c r="O336" i="5" s="1"/>
  <c r="K335" i="5"/>
  <c r="G335" i="5"/>
  <c r="H335" i="5" s="1"/>
  <c r="O335" i="5" s="1"/>
  <c r="K334" i="5"/>
  <c r="G334" i="5"/>
  <c r="H334" i="5" s="1"/>
  <c r="O334" i="5" s="1"/>
  <c r="H333" i="5"/>
  <c r="O333" i="5" s="1"/>
  <c r="K332" i="5"/>
  <c r="L332" i="5" s="1"/>
  <c r="N332" i="5" s="1"/>
  <c r="G332" i="5"/>
  <c r="H332" i="5" s="1"/>
  <c r="K331" i="5"/>
  <c r="L331" i="5" s="1"/>
  <c r="G331" i="5"/>
  <c r="H331" i="5" s="1"/>
  <c r="K330" i="5"/>
  <c r="G330" i="5"/>
  <c r="H330" i="5" s="1"/>
  <c r="O330" i="5" s="1"/>
  <c r="L329" i="5"/>
  <c r="H329" i="5"/>
  <c r="K328" i="5"/>
  <c r="G328" i="5"/>
  <c r="H328" i="5" s="1"/>
  <c r="L327" i="5"/>
  <c r="N327" i="5" s="1"/>
  <c r="H327" i="5"/>
  <c r="O327" i="5" s="1"/>
  <c r="L326" i="5"/>
  <c r="N326" i="5" s="1"/>
  <c r="H326" i="5"/>
  <c r="O326" i="5" s="1"/>
  <c r="L325" i="5"/>
  <c r="N325" i="5" s="1"/>
  <c r="H325" i="5"/>
  <c r="O325" i="5" s="1"/>
  <c r="L324" i="5"/>
  <c r="N324" i="5" s="1"/>
  <c r="H324" i="5"/>
  <c r="O324" i="5" s="1"/>
  <c r="L323" i="5"/>
  <c r="N323" i="5" s="1"/>
  <c r="H323" i="5"/>
  <c r="H322" i="5"/>
  <c r="G283" i="5"/>
  <c r="H283" i="5" s="1"/>
  <c r="G282" i="5"/>
  <c r="H282" i="5" s="1"/>
  <c r="G281" i="5"/>
  <c r="H281" i="5" s="1"/>
  <c r="G280" i="5"/>
  <c r="H280" i="5" s="1"/>
  <c r="G279" i="5"/>
  <c r="H279" i="5" s="1"/>
  <c r="K278" i="5"/>
  <c r="J278" i="5"/>
  <c r="G278" i="5"/>
  <c r="H278" i="5" s="1"/>
  <c r="J277" i="5"/>
  <c r="L277" i="5" s="1"/>
  <c r="N277" i="5" s="1"/>
  <c r="H277" i="5"/>
  <c r="J275" i="5"/>
  <c r="K272" i="5"/>
  <c r="K273" i="5" s="1"/>
  <c r="K275" i="5" s="1"/>
  <c r="G272" i="5"/>
  <c r="G273" i="5" s="1"/>
  <c r="L270" i="5"/>
  <c r="H270" i="5"/>
  <c r="K268" i="5"/>
  <c r="G268" i="5"/>
  <c r="H268" i="5" s="1"/>
  <c r="K267" i="5"/>
  <c r="L267" i="5" s="1"/>
  <c r="G267" i="5"/>
  <c r="H267" i="5" s="1"/>
  <c r="O267" i="5" s="1"/>
  <c r="K266" i="5"/>
  <c r="L266" i="5" s="1"/>
  <c r="G266" i="5"/>
  <c r="H266" i="5" s="1"/>
  <c r="O266" i="5" s="1"/>
  <c r="K265" i="5"/>
  <c r="L265" i="5" s="1"/>
  <c r="G265" i="5"/>
  <c r="H265" i="5" s="1"/>
  <c r="O265" i="5" s="1"/>
  <c r="K264" i="5"/>
  <c r="G264" i="5"/>
  <c r="H264" i="5" s="1"/>
  <c r="K262" i="5"/>
  <c r="L262" i="5" s="1"/>
  <c r="G262" i="5"/>
  <c r="H262" i="5" s="1"/>
  <c r="O262" i="5" s="1"/>
  <c r="K261" i="5"/>
  <c r="G261" i="5"/>
  <c r="H261" i="5" s="1"/>
  <c r="O261" i="5" s="1"/>
  <c r="K260" i="5"/>
  <c r="G260" i="5"/>
  <c r="H260" i="5" s="1"/>
  <c r="O260" i="5" s="1"/>
  <c r="K259" i="5"/>
  <c r="G259" i="5"/>
  <c r="H259" i="5" s="1"/>
  <c r="O259" i="5" s="1"/>
  <c r="H258" i="5"/>
  <c r="O258" i="5" s="1"/>
  <c r="K257" i="5"/>
  <c r="L257" i="5" s="1"/>
  <c r="N257" i="5" s="1"/>
  <c r="G257" i="5"/>
  <c r="H257" i="5" s="1"/>
  <c r="K256" i="5"/>
  <c r="L256" i="5" s="1"/>
  <c r="N256" i="5" s="1"/>
  <c r="G256" i="5"/>
  <c r="H256" i="5" s="1"/>
  <c r="K255" i="5"/>
  <c r="G255" i="5"/>
  <c r="H255" i="5" s="1"/>
  <c r="O255" i="5" s="1"/>
  <c r="L254" i="5"/>
  <c r="H254" i="5"/>
  <c r="K253" i="5"/>
  <c r="G253" i="5"/>
  <c r="H253" i="5" s="1"/>
  <c r="L252" i="5"/>
  <c r="H252" i="5"/>
  <c r="O252" i="5" s="1"/>
  <c r="L251" i="5"/>
  <c r="N251" i="5" s="1"/>
  <c r="H251" i="5"/>
  <c r="O251" i="5" s="1"/>
  <c r="L250" i="5"/>
  <c r="H250" i="5"/>
  <c r="O250" i="5" s="1"/>
  <c r="L249" i="5"/>
  <c r="N249" i="5" s="1"/>
  <c r="H249" i="5"/>
  <c r="O249" i="5" s="1"/>
  <c r="L248" i="5"/>
  <c r="N248" i="5" s="1"/>
  <c r="O248" i="5" s="1"/>
  <c r="H248" i="5"/>
  <c r="H247" i="5"/>
  <c r="G207" i="5"/>
  <c r="H207" i="5" s="1"/>
  <c r="G206" i="5"/>
  <c r="H206" i="5" s="1"/>
  <c r="G205" i="5"/>
  <c r="H205" i="5" s="1"/>
  <c r="G204" i="5"/>
  <c r="H204" i="5" s="1"/>
  <c r="G203" i="5"/>
  <c r="H203" i="5" s="1"/>
  <c r="K202" i="5"/>
  <c r="J202" i="5"/>
  <c r="H202" i="5"/>
  <c r="G202" i="5"/>
  <c r="J201" i="5"/>
  <c r="L201" i="5" s="1"/>
  <c r="H201" i="5"/>
  <c r="J199" i="5"/>
  <c r="K196" i="5"/>
  <c r="K197" i="5" s="1"/>
  <c r="K199" i="5" s="1"/>
  <c r="L199" i="5" s="1"/>
  <c r="G196" i="5"/>
  <c r="G197" i="5" s="1"/>
  <c r="L194" i="5"/>
  <c r="H194" i="5"/>
  <c r="K192" i="5"/>
  <c r="G192" i="5"/>
  <c r="H192" i="5" s="1"/>
  <c r="K191" i="5"/>
  <c r="L191" i="5" s="1"/>
  <c r="G191" i="5"/>
  <c r="H191" i="5" s="1"/>
  <c r="O191" i="5" s="1"/>
  <c r="K190" i="5"/>
  <c r="L190" i="5" s="1"/>
  <c r="G190" i="5"/>
  <c r="H190" i="5" s="1"/>
  <c r="O190" i="5" s="1"/>
  <c r="K189" i="5"/>
  <c r="L189" i="5" s="1"/>
  <c r="G189" i="5"/>
  <c r="H189" i="5" s="1"/>
  <c r="O189" i="5" s="1"/>
  <c r="K188" i="5"/>
  <c r="G188" i="5"/>
  <c r="H188" i="5" s="1"/>
  <c r="K186" i="5"/>
  <c r="L186" i="5" s="1"/>
  <c r="H186" i="5"/>
  <c r="O186" i="5" s="1"/>
  <c r="G186" i="5"/>
  <c r="K185" i="5"/>
  <c r="H185" i="5"/>
  <c r="O185" i="5" s="1"/>
  <c r="G185" i="5"/>
  <c r="K184" i="5"/>
  <c r="H184" i="5"/>
  <c r="O184" i="5" s="1"/>
  <c r="G184" i="5"/>
  <c r="K183" i="5"/>
  <c r="G183" i="5"/>
  <c r="H183" i="5" s="1"/>
  <c r="O183" i="5" s="1"/>
  <c r="H182" i="5"/>
  <c r="O182" i="5" s="1"/>
  <c r="K181" i="5"/>
  <c r="L181" i="5" s="1"/>
  <c r="G181" i="5"/>
  <c r="H181" i="5" s="1"/>
  <c r="K180" i="5"/>
  <c r="L180" i="5" s="1"/>
  <c r="G180" i="5"/>
  <c r="H180" i="5" s="1"/>
  <c r="K179" i="5"/>
  <c r="G179" i="5"/>
  <c r="H179" i="5" s="1"/>
  <c r="O179" i="5" s="1"/>
  <c r="L178" i="5"/>
  <c r="H178" i="5"/>
  <c r="K177" i="5"/>
  <c r="G177" i="5"/>
  <c r="H177" i="5" s="1"/>
  <c r="L176" i="5"/>
  <c r="H176" i="5"/>
  <c r="O176" i="5" s="1"/>
  <c r="L175" i="5"/>
  <c r="H175" i="5"/>
  <c r="O175" i="5" s="1"/>
  <c r="L174" i="5"/>
  <c r="H174" i="5"/>
  <c r="O174" i="5" s="1"/>
  <c r="L173" i="5"/>
  <c r="H173" i="5"/>
  <c r="O173" i="5" s="1"/>
  <c r="L172" i="5"/>
  <c r="H172" i="5"/>
  <c r="H171" i="5"/>
  <c r="K38" i="5"/>
  <c r="K37" i="5"/>
  <c r="K36" i="5"/>
  <c r="K35" i="5"/>
  <c r="K33" i="5"/>
  <c r="K32" i="5"/>
  <c r="K31" i="5"/>
  <c r="K29" i="5"/>
  <c r="K45" i="5"/>
  <c r="K44" i="5"/>
  <c r="K43" i="5"/>
  <c r="K42" i="5"/>
  <c r="K41" i="5"/>
  <c r="K40" i="5"/>
  <c r="G57" i="5"/>
  <c r="G56" i="5"/>
  <c r="G55" i="5"/>
  <c r="G44" i="5"/>
  <c r="G43" i="5"/>
  <c r="G42" i="5"/>
  <c r="G41" i="5"/>
  <c r="G40" i="5"/>
  <c r="G38" i="5"/>
  <c r="G37" i="5"/>
  <c r="G36" i="5"/>
  <c r="G35" i="5"/>
  <c r="G33" i="5"/>
  <c r="G32" i="5"/>
  <c r="G31" i="5"/>
  <c r="G29" i="5"/>
  <c r="K483" i="2"/>
  <c r="K482" i="2"/>
  <c r="K481" i="2"/>
  <c r="K480" i="2"/>
  <c r="K478" i="2"/>
  <c r="K477" i="2"/>
  <c r="K476" i="2"/>
  <c r="K474" i="2"/>
  <c r="K490" i="2"/>
  <c r="K489" i="2"/>
  <c r="K488" i="2"/>
  <c r="K487" i="2"/>
  <c r="K486" i="2"/>
  <c r="K485" i="2"/>
  <c r="G502" i="2"/>
  <c r="G501" i="2"/>
  <c r="G500" i="2"/>
  <c r="G490" i="2"/>
  <c r="G489" i="2"/>
  <c r="G488" i="2"/>
  <c r="G487" i="2"/>
  <c r="G486" i="2"/>
  <c r="G485" i="2"/>
  <c r="G483" i="2"/>
  <c r="G482" i="2"/>
  <c r="G481" i="2"/>
  <c r="G480" i="2"/>
  <c r="G478" i="2"/>
  <c r="G477" i="2"/>
  <c r="G476" i="2"/>
  <c r="G474" i="2"/>
  <c r="K409" i="2"/>
  <c r="K408" i="2"/>
  <c r="K407" i="2"/>
  <c r="K406" i="2"/>
  <c r="K404" i="2"/>
  <c r="K403" i="2"/>
  <c r="K402" i="2"/>
  <c r="K400" i="2"/>
  <c r="K416" i="2"/>
  <c r="K415" i="2"/>
  <c r="K414" i="2"/>
  <c r="K413" i="2"/>
  <c r="K412" i="2"/>
  <c r="K411" i="2"/>
  <c r="G416" i="2"/>
  <c r="G412" i="2"/>
  <c r="G413" i="2"/>
  <c r="G414" i="2"/>
  <c r="G415" i="2"/>
  <c r="G411" i="2"/>
  <c r="G409" i="2"/>
  <c r="G408" i="2"/>
  <c r="G407" i="2"/>
  <c r="G406" i="2"/>
  <c r="G404" i="2"/>
  <c r="G403" i="2"/>
  <c r="G402" i="2"/>
  <c r="G400" i="2"/>
  <c r="K335" i="2"/>
  <c r="K334" i="2"/>
  <c r="K333" i="2"/>
  <c r="K332" i="2"/>
  <c r="K330" i="2"/>
  <c r="K329" i="2"/>
  <c r="K328" i="2"/>
  <c r="K326" i="2"/>
  <c r="K341" i="2"/>
  <c r="K340" i="2"/>
  <c r="K339" i="2"/>
  <c r="K338" i="2"/>
  <c r="K337" i="2"/>
  <c r="K342" i="2"/>
  <c r="G354" i="2"/>
  <c r="G353" i="2"/>
  <c r="G352" i="2"/>
  <c r="G342" i="2"/>
  <c r="G338" i="2"/>
  <c r="G339" i="2"/>
  <c r="G340" i="2"/>
  <c r="G341" i="2"/>
  <c r="G337" i="2"/>
  <c r="G335" i="2"/>
  <c r="G334" i="2"/>
  <c r="G333" i="2"/>
  <c r="G332" i="2"/>
  <c r="G330" i="2"/>
  <c r="G329" i="2"/>
  <c r="G328" i="2"/>
  <c r="G326" i="2"/>
  <c r="K261" i="2"/>
  <c r="K260" i="2"/>
  <c r="K259" i="2"/>
  <c r="K258" i="2"/>
  <c r="K256" i="2"/>
  <c r="K255" i="2"/>
  <c r="K254" i="2"/>
  <c r="K252" i="2"/>
  <c r="K267" i="2"/>
  <c r="K266" i="2"/>
  <c r="K265" i="2"/>
  <c r="K264" i="2"/>
  <c r="K263" i="2"/>
  <c r="K268" i="2"/>
  <c r="G280" i="2"/>
  <c r="G279" i="2"/>
  <c r="G278" i="2"/>
  <c r="G268" i="2"/>
  <c r="G264" i="2"/>
  <c r="G265" i="2"/>
  <c r="G266" i="2"/>
  <c r="G267" i="2"/>
  <c r="G263" i="2"/>
  <c r="G261" i="2"/>
  <c r="G260" i="2"/>
  <c r="G259" i="2"/>
  <c r="G258" i="2"/>
  <c r="G256" i="2"/>
  <c r="G255" i="2"/>
  <c r="G254" i="2"/>
  <c r="G252" i="2"/>
  <c r="K194" i="2"/>
  <c r="K193" i="2"/>
  <c r="K192" i="2"/>
  <c r="K191" i="2"/>
  <c r="K190" i="2"/>
  <c r="K189" i="2"/>
  <c r="G206" i="2"/>
  <c r="G205" i="2"/>
  <c r="G204" i="2"/>
  <c r="G194" i="2"/>
  <c r="G190" i="2"/>
  <c r="G191" i="2"/>
  <c r="G192" i="2"/>
  <c r="G193" i="2"/>
  <c r="G189" i="2"/>
  <c r="K187" i="2"/>
  <c r="K186" i="2"/>
  <c r="K185" i="2"/>
  <c r="K184" i="2"/>
  <c r="K182" i="2"/>
  <c r="K181" i="2"/>
  <c r="K180" i="2"/>
  <c r="K178" i="2"/>
  <c r="G187" i="2"/>
  <c r="G186" i="2"/>
  <c r="G185" i="2"/>
  <c r="G184" i="2"/>
  <c r="G182" i="2"/>
  <c r="G181" i="2"/>
  <c r="G180" i="2"/>
  <c r="G178" i="2"/>
  <c r="K120" i="2"/>
  <c r="K119" i="2"/>
  <c r="K118" i="2"/>
  <c r="K117" i="2"/>
  <c r="K116" i="2"/>
  <c r="K115" i="2"/>
  <c r="K113" i="2"/>
  <c r="K112" i="2"/>
  <c r="K111" i="2"/>
  <c r="K110" i="2"/>
  <c r="K108" i="2"/>
  <c r="K107" i="2"/>
  <c r="K106" i="2"/>
  <c r="K104" i="2"/>
  <c r="G132" i="2"/>
  <c r="G131" i="2"/>
  <c r="G123" i="2"/>
  <c r="G120" i="2"/>
  <c r="G116" i="2"/>
  <c r="G117" i="2"/>
  <c r="G118" i="2"/>
  <c r="G119" i="2"/>
  <c r="G115" i="2"/>
  <c r="G113" i="2"/>
  <c r="G112" i="2"/>
  <c r="G111" i="2"/>
  <c r="G110" i="2"/>
  <c r="G108" i="2"/>
  <c r="G107" i="2"/>
  <c r="G106" i="2"/>
  <c r="G104" i="2"/>
  <c r="O323" i="5" l="1"/>
  <c r="N345" i="5"/>
  <c r="L350" i="5"/>
  <c r="O352" i="5"/>
  <c r="L353" i="5"/>
  <c r="O277" i="5"/>
  <c r="N250" i="5"/>
  <c r="N252" i="5"/>
  <c r="N270" i="5"/>
  <c r="L275" i="5"/>
  <c r="L278" i="5"/>
  <c r="N134" i="6"/>
  <c r="O134" i="6" s="1"/>
  <c r="N284" i="6"/>
  <c r="O284" i="6" s="1"/>
  <c r="H270" i="6"/>
  <c r="H272" i="6" s="1"/>
  <c r="J270" i="6"/>
  <c r="L270" i="6" s="1"/>
  <c r="H195" i="6"/>
  <c r="J195" i="6"/>
  <c r="L195" i="6" s="1"/>
  <c r="H120" i="6"/>
  <c r="H122" i="6" s="1"/>
  <c r="J120" i="6"/>
  <c r="L120" i="6" s="1"/>
  <c r="J195" i="13"/>
  <c r="L195" i="13" s="1"/>
  <c r="H195" i="13"/>
  <c r="J120" i="13"/>
  <c r="L120" i="13" s="1"/>
  <c r="N120" i="13" s="1"/>
  <c r="H120" i="13"/>
  <c r="J270" i="13"/>
  <c r="L270" i="13" s="1"/>
  <c r="N270" i="13" s="1"/>
  <c r="H270" i="13"/>
  <c r="H45" i="13"/>
  <c r="N45" i="13" s="1"/>
  <c r="O45" i="13" s="1"/>
  <c r="O122" i="8"/>
  <c r="N211" i="8"/>
  <c r="O211" i="8" s="1"/>
  <c r="N201" i="8"/>
  <c r="O201" i="8" s="1"/>
  <c r="N204" i="8"/>
  <c r="O204" i="8" s="1"/>
  <c r="H203" i="8"/>
  <c r="N135" i="8"/>
  <c r="O135" i="8" s="1"/>
  <c r="N125" i="8"/>
  <c r="O125" i="8" s="1"/>
  <c r="N128" i="8"/>
  <c r="O128" i="8" s="1"/>
  <c r="H127" i="8"/>
  <c r="N283" i="13"/>
  <c r="O283" i="13" s="1"/>
  <c r="N273" i="13"/>
  <c r="O273" i="13" s="1"/>
  <c r="H272" i="13"/>
  <c r="N207" i="13"/>
  <c r="O207" i="13" s="1"/>
  <c r="N198" i="13"/>
  <c r="O198" i="13" s="1"/>
  <c r="H197" i="13"/>
  <c r="N58" i="13"/>
  <c r="O58" i="13" s="1"/>
  <c r="N132" i="13"/>
  <c r="O132" i="13" s="1"/>
  <c r="N123" i="13"/>
  <c r="O123" i="13" s="1"/>
  <c r="N48" i="13"/>
  <c r="O48" i="13" s="1"/>
  <c r="O276" i="13"/>
  <c r="O206" i="13"/>
  <c r="N209" i="13"/>
  <c r="O209" i="13" s="1"/>
  <c r="N205" i="13"/>
  <c r="O205" i="13" s="1"/>
  <c r="N208" i="13"/>
  <c r="O208" i="13" s="1"/>
  <c r="N201" i="13"/>
  <c r="O201" i="13" s="1"/>
  <c r="O133" i="13"/>
  <c r="O126" i="13"/>
  <c r="N134" i="13"/>
  <c r="O134" i="13" s="1"/>
  <c r="N130" i="13"/>
  <c r="O130" i="13" s="1"/>
  <c r="N51" i="13"/>
  <c r="O51" i="13" s="1"/>
  <c r="H47" i="13"/>
  <c r="N131" i="13"/>
  <c r="O131" i="13" s="1"/>
  <c r="N283" i="6"/>
  <c r="O283" i="6" s="1"/>
  <c r="N273" i="6"/>
  <c r="O273" i="6" s="1"/>
  <c r="N276" i="6"/>
  <c r="O276" i="6" s="1"/>
  <c r="N208" i="6"/>
  <c r="O208" i="6" s="1"/>
  <c r="N198" i="6"/>
  <c r="O198" i="6" s="1"/>
  <c r="O201" i="6"/>
  <c r="H197" i="6"/>
  <c r="N133" i="6"/>
  <c r="O133" i="6" s="1"/>
  <c r="N123" i="6"/>
  <c r="O123" i="6" s="1"/>
  <c r="O126" i="6"/>
  <c r="H125" i="6"/>
  <c r="O125" i="5"/>
  <c r="O122" i="5"/>
  <c r="N132" i="5"/>
  <c r="O132" i="5" s="1"/>
  <c r="O123" i="5"/>
  <c r="O126" i="5"/>
  <c r="H121" i="5"/>
  <c r="L347" i="5"/>
  <c r="O332" i="5"/>
  <c r="N337" i="5"/>
  <c r="N353" i="5"/>
  <c r="O353" i="5" s="1"/>
  <c r="N331" i="5"/>
  <c r="O331" i="5" s="1"/>
  <c r="H338" i="5"/>
  <c r="N329" i="5"/>
  <c r="O329" i="5" s="1"/>
  <c r="N340" i="5"/>
  <c r="N341" i="5"/>
  <c r="N342" i="5"/>
  <c r="N344" i="5"/>
  <c r="O344" i="5" s="1"/>
  <c r="G351" i="5"/>
  <c r="H351" i="5" s="1"/>
  <c r="G350" i="5"/>
  <c r="H350" i="5" s="1"/>
  <c r="H348" i="5"/>
  <c r="N350" i="5"/>
  <c r="L351" i="5"/>
  <c r="N351" i="5" s="1"/>
  <c r="K354" i="5"/>
  <c r="L354" i="5" s="1"/>
  <c r="N354" i="5" s="1"/>
  <c r="O354" i="5" s="1"/>
  <c r="K355" i="5"/>
  <c r="L355" i="5" s="1"/>
  <c r="N355" i="5" s="1"/>
  <c r="O355" i="5" s="1"/>
  <c r="K356" i="5"/>
  <c r="L356" i="5" s="1"/>
  <c r="N356" i="5" s="1"/>
  <c r="O356" i="5" s="1"/>
  <c r="K357" i="5"/>
  <c r="L357" i="5" s="1"/>
  <c r="K358" i="5"/>
  <c r="L358" i="5" s="1"/>
  <c r="N358" i="5" s="1"/>
  <c r="O358" i="5" s="1"/>
  <c r="H347" i="5"/>
  <c r="L348" i="5"/>
  <c r="O256" i="5"/>
  <c r="O257" i="5"/>
  <c r="N262" i="5"/>
  <c r="L272" i="5"/>
  <c r="N278" i="5"/>
  <c r="O278" i="5" s="1"/>
  <c r="H263" i="5"/>
  <c r="H271" i="5" s="1"/>
  <c r="N254" i="5"/>
  <c r="O254" i="5" s="1"/>
  <c r="N265" i="5"/>
  <c r="N266" i="5"/>
  <c r="N267" i="5"/>
  <c r="N269" i="5"/>
  <c r="O269" i="5" s="1"/>
  <c r="G276" i="5"/>
  <c r="H276" i="5" s="1"/>
  <c r="G275" i="5"/>
  <c r="H275" i="5" s="1"/>
  <c r="H273" i="5"/>
  <c r="N275" i="5"/>
  <c r="K276" i="5"/>
  <c r="L276" i="5" s="1"/>
  <c r="N276" i="5" s="1"/>
  <c r="K279" i="5"/>
  <c r="L279" i="5" s="1"/>
  <c r="N279" i="5" s="1"/>
  <c r="O279" i="5" s="1"/>
  <c r="K280" i="5"/>
  <c r="L280" i="5" s="1"/>
  <c r="N280" i="5" s="1"/>
  <c r="O280" i="5" s="1"/>
  <c r="K281" i="5"/>
  <c r="L281" i="5" s="1"/>
  <c r="N281" i="5" s="1"/>
  <c r="O281" i="5" s="1"/>
  <c r="K282" i="5"/>
  <c r="L282" i="5" s="1"/>
  <c r="K283" i="5"/>
  <c r="L283" i="5" s="1"/>
  <c r="N283" i="5" s="1"/>
  <c r="O283" i="5" s="1"/>
  <c r="H272" i="5"/>
  <c r="L273" i="5"/>
  <c r="N273" i="5" s="1"/>
  <c r="O201" i="5"/>
  <c r="N201" i="5"/>
  <c r="L202" i="5"/>
  <c r="N194" i="5"/>
  <c r="L196" i="5"/>
  <c r="N180" i="5"/>
  <c r="O180" i="5" s="1"/>
  <c r="N181" i="5"/>
  <c r="O181" i="5" s="1"/>
  <c r="N202" i="5"/>
  <c r="O202" i="5" s="1"/>
  <c r="N186" i="5"/>
  <c r="N193" i="5"/>
  <c r="O193" i="5" s="1"/>
  <c r="N172" i="5"/>
  <c r="O172" i="5" s="1"/>
  <c r="N173" i="5"/>
  <c r="N174" i="5"/>
  <c r="N175" i="5"/>
  <c r="N176" i="5"/>
  <c r="H187" i="5"/>
  <c r="N178" i="5"/>
  <c r="O178" i="5" s="1"/>
  <c r="N189" i="5"/>
  <c r="N190" i="5"/>
  <c r="N191" i="5"/>
  <c r="G200" i="5"/>
  <c r="H200" i="5" s="1"/>
  <c r="G199" i="5"/>
  <c r="H199" i="5" s="1"/>
  <c r="H197" i="5"/>
  <c r="N199" i="5"/>
  <c r="K200" i="5"/>
  <c r="L200" i="5" s="1"/>
  <c r="N200" i="5" s="1"/>
  <c r="K203" i="5"/>
  <c r="L203" i="5" s="1"/>
  <c r="N203" i="5" s="1"/>
  <c r="O203" i="5" s="1"/>
  <c r="K204" i="5"/>
  <c r="L204" i="5" s="1"/>
  <c r="N204" i="5" s="1"/>
  <c r="O204" i="5" s="1"/>
  <c r="K205" i="5"/>
  <c r="L205" i="5" s="1"/>
  <c r="N205" i="5" s="1"/>
  <c r="O205" i="5" s="1"/>
  <c r="K206" i="5"/>
  <c r="L206" i="5" s="1"/>
  <c r="K207" i="5"/>
  <c r="L207" i="5" s="1"/>
  <c r="N207" i="5" s="1"/>
  <c r="O207" i="5" s="1"/>
  <c r="H196" i="5"/>
  <c r="L197" i="5"/>
  <c r="N195" i="13" l="1"/>
  <c r="N120" i="6"/>
  <c r="O120" i="6" s="1"/>
  <c r="N195" i="6"/>
  <c r="O195" i="6" s="1"/>
  <c r="N270" i="6"/>
  <c r="O270" i="6" s="1"/>
  <c r="O270" i="13"/>
  <c r="H122" i="13"/>
  <c r="H125" i="13" s="1"/>
  <c r="H142" i="13" s="1"/>
  <c r="H143" i="13" s="1"/>
  <c r="O120" i="13"/>
  <c r="O195" i="13"/>
  <c r="H220" i="8"/>
  <c r="H214" i="8"/>
  <c r="H144" i="8"/>
  <c r="H138" i="8"/>
  <c r="H50" i="13"/>
  <c r="H136" i="13"/>
  <c r="H200" i="13"/>
  <c r="H275" i="13"/>
  <c r="H275" i="6"/>
  <c r="H200" i="6"/>
  <c r="H142" i="6"/>
  <c r="H136" i="6"/>
  <c r="H124" i="5"/>
  <c r="N348" i="5"/>
  <c r="O348" i="5" s="1"/>
  <c r="N357" i="5"/>
  <c r="O357" i="5" s="1"/>
  <c r="O351" i="5"/>
  <c r="O350" i="5"/>
  <c r="H346" i="5"/>
  <c r="N347" i="5"/>
  <c r="O347" i="5" s="1"/>
  <c r="N282" i="5"/>
  <c r="O282" i="5" s="1"/>
  <c r="O273" i="5"/>
  <c r="O276" i="5"/>
  <c r="O275" i="5"/>
  <c r="N272" i="5"/>
  <c r="O272" i="5" s="1"/>
  <c r="H274" i="5"/>
  <c r="N197" i="5"/>
  <c r="O197" i="5" s="1"/>
  <c r="N206" i="5"/>
  <c r="O206" i="5" s="1"/>
  <c r="O200" i="5"/>
  <c r="O199" i="5"/>
  <c r="H195" i="5"/>
  <c r="N196" i="5"/>
  <c r="O196" i="5" s="1"/>
  <c r="H221" i="8" l="1"/>
  <c r="H222" i="8" s="1"/>
  <c r="H215" i="8"/>
  <c r="H216" i="8" s="1"/>
  <c r="H145" i="8"/>
  <c r="H146" i="8" s="1"/>
  <c r="H139" i="8"/>
  <c r="H140" i="8" s="1"/>
  <c r="H217" i="13"/>
  <c r="H211" i="13"/>
  <c r="H292" i="13"/>
  <c r="H286" i="13"/>
  <c r="H137" i="13"/>
  <c r="H138" i="13" s="1"/>
  <c r="H67" i="13"/>
  <c r="H61" i="13"/>
  <c r="H144" i="13"/>
  <c r="H292" i="6"/>
  <c r="H286" i="6"/>
  <c r="H217" i="6"/>
  <c r="H211" i="6"/>
  <c r="H137" i="6"/>
  <c r="H138" i="6" s="1"/>
  <c r="H143" i="6"/>
  <c r="H144" i="6" s="1"/>
  <c r="H141" i="5"/>
  <c r="H135" i="5"/>
  <c r="H349" i="5"/>
  <c r="H360" i="5" s="1"/>
  <c r="H291" i="5"/>
  <c r="H285" i="5"/>
  <c r="H198" i="5"/>
  <c r="F18" i="11"/>
  <c r="O145" i="10"/>
  <c r="N145" i="10"/>
  <c r="O139" i="10"/>
  <c r="N139" i="10"/>
  <c r="H134" i="10"/>
  <c r="H133" i="10"/>
  <c r="H132" i="10"/>
  <c r="H131" i="10"/>
  <c r="H130" i="10"/>
  <c r="K129" i="10"/>
  <c r="J129" i="10"/>
  <c r="H129" i="10"/>
  <c r="L128" i="10"/>
  <c r="J128" i="10"/>
  <c r="H128" i="10"/>
  <c r="K127" i="10"/>
  <c r="L127" i="10" s="1"/>
  <c r="J126" i="10"/>
  <c r="L126" i="10" s="1"/>
  <c r="G126" i="10"/>
  <c r="G127" i="10" s="1"/>
  <c r="H127" i="10" s="1"/>
  <c r="K123" i="10"/>
  <c r="K124" i="10" s="1"/>
  <c r="L124" i="10" s="1"/>
  <c r="G123" i="10"/>
  <c r="G124" i="10" s="1"/>
  <c r="H124" i="10" s="1"/>
  <c r="L121" i="10"/>
  <c r="H121" i="10"/>
  <c r="L120" i="10"/>
  <c r="H120" i="10"/>
  <c r="O120" i="10" s="1"/>
  <c r="H119" i="10"/>
  <c r="L118" i="10"/>
  <c r="N118" i="10" s="1"/>
  <c r="H118" i="10"/>
  <c r="O118" i="10" s="1"/>
  <c r="L117" i="10"/>
  <c r="H117" i="10"/>
  <c r="O117" i="10" s="1"/>
  <c r="L116" i="10"/>
  <c r="H116" i="10"/>
  <c r="O116" i="10" s="1"/>
  <c r="H115" i="10"/>
  <c r="L113" i="10"/>
  <c r="H113" i="10"/>
  <c r="O113" i="10" s="1"/>
  <c r="L112" i="10"/>
  <c r="H112" i="10"/>
  <c r="O112" i="10" s="1"/>
  <c r="H111" i="10"/>
  <c r="O111" i="10" s="1"/>
  <c r="H110" i="10"/>
  <c r="O110" i="10" s="1"/>
  <c r="H109" i="10"/>
  <c r="O109" i="10" s="1"/>
  <c r="L108" i="10"/>
  <c r="H108" i="10"/>
  <c r="L107" i="10"/>
  <c r="H107" i="10"/>
  <c r="H106" i="10"/>
  <c r="O106" i="10" s="1"/>
  <c r="L105" i="10"/>
  <c r="H105" i="10"/>
  <c r="O105" i="10" s="1"/>
  <c r="H104" i="10"/>
  <c r="L103" i="10"/>
  <c r="H103" i="10"/>
  <c r="O103" i="10" s="1"/>
  <c r="L102" i="10"/>
  <c r="H102" i="10"/>
  <c r="O102" i="10" s="1"/>
  <c r="L101" i="10"/>
  <c r="H101" i="10"/>
  <c r="O101" i="10" s="1"/>
  <c r="L100" i="10"/>
  <c r="H100" i="10"/>
  <c r="O100" i="10" s="1"/>
  <c r="L99" i="10"/>
  <c r="H99" i="10"/>
  <c r="O99" i="10" s="1"/>
  <c r="H98" i="10"/>
  <c r="N105" i="10" l="1"/>
  <c r="N100" i="10"/>
  <c r="N120" i="10"/>
  <c r="L129" i="10"/>
  <c r="N128" i="10"/>
  <c r="O128" i="10" s="1"/>
  <c r="N121" i="10"/>
  <c r="N99" i="10"/>
  <c r="N101" i="10"/>
  <c r="H224" i="8"/>
  <c r="H218" i="8"/>
  <c r="H148" i="8"/>
  <c r="H142" i="8"/>
  <c r="H140" i="13"/>
  <c r="H146" i="13"/>
  <c r="H68" i="13"/>
  <c r="H69" i="13" s="1"/>
  <c r="H293" i="13"/>
  <c r="H294" i="13" s="1"/>
  <c r="H212" i="13"/>
  <c r="H213" i="13" s="1"/>
  <c r="H62" i="13"/>
  <c r="H63" i="13" s="1"/>
  <c r="H287" i="13"/>
  <c r="H288" i="13" s="1"/>
  <c r="H218" i="13"/>
  <c r="H219" i="13" s="1"/>
  <c r="H293" i="6"/>
  <c r="H287" i="6"/>
  <c r="H218" i="6"/>
  <c r="H219" i="6" s="1"/>
  <c r="H212" i="6"/>
  <c r="H213" i="6" s="1"/>
  <c r="H146" i="6"/>
  <c r="H140" i="6"/>
  <c r="H142" i="5"/>
  <c r="H143" i="5" s="1"/>
  <c r="H136" i="5"/>
  <c r="H137" i="5" s="1"/>
  <c r="H366" i="5"/>
  <c r="H292" i="5"/>
  <c r="H293" i="5" s="1"/>
  <c r="H286" i="5"/>
  <c r="H215" i="5"/>
  <c r="H209" i="5"/>
  <c r="N129" i="10"/>
  <c r="O129" i="10" s="1"/>
  <c r="L123" i="10"/>
  <c r="N112" i="10"/>
  <c r="N113" i="10"/>
  <c r="N116" i="10"/>
  <c r="N117" i="10"/>
  <c r="H114" i="10"/>
  <c r="N102" i="10"/>
  <c r="N124" i="10"/>
  <c r="O124" i="10" s="1"/>
  <c r="N103" i="10"/>
  <c r="N107" i="10"/>
  <c r="O107" i="10" s="1"/>
  <c r="N108" i="10"/>
  <c r="O108" i="10" s="1"/>
  <c r="N127" i="10"/>
  <c r="O127" i="10" s="1"/>
  <c r="N130" i="10"/>
  <c r="O130" i="10" s="1"/>
  <c r="L131" i="10"/>
  <c r="N131" i="10" s="1"/>
  <c r="O131" i="10" s="1"/>
  <c r="L132" i="10"/>
  <c r="N132" i="10" s="1"/>
  <c r="O132" i="10" s="1"/>
  <c r="L133" i="10"/>
  <c r="L134" i="10"/>
  <c r="N134" i="10" s="1"/>
  <c r="O134" i="10" s="1"/>
  <c r="H123" i="10"/>
  <c r="N123" i="10" s="1"/>
  <c r="H126" i="10"/>
  <c r="O145" i="12"/>
  <c r="N145" i="12"/>
  <c r="H133" i="12"/>
  <c r="H132" i="12"/>
  <c r="K131" i="12"/>
  <c r="L131" i="12" s="1"/>
  <c r="H131" i="12"/>
  <c r="H130" i="12"/>
  <c r="K129" i="12"/>
  <c r="L129" i="12" s="1"/>
  <c r="J129" i="12"/>
  <c r="H129" i="12"/>
  <c r="G129" i="12"/>
  <c r="L128" i="12"/>
  <c r="J128" i="12"/>
  <c r="H128" i="12"/>
  <c r="J126" i="12"/>
  <c r="K124" i="12"/>
  <c r="K126" i="12" s="1"/>
  <c r="G123" i="12"/>
  <c r="H123" i="12" s="1"/>
  <c r="L121" i="12"/>
  <c r="H121" i="12"/>
  <c r="H119" i="12"/>
  <c r="L118" i="12"/>
  <c r="H118" i="12"/>
  <c r="O118" i="12" s="1"/>
  <c r="L117" i="12"/>
  <c r="H117" i="12"/>
  <c r="O117" i="12" s="1"/>
  <c r="L116" i="12"/>
  <c r="H116" i="12"/>
  <c r="O116" i="12" s="1"/>
  <c r="H115" i="12"/>
  <c r="L113" i="12"/>
  <c r="H113" i="12"/>
  <c r="O113" i="12" s="1"/>
  <c r="H112" i="12"/>
  <c r="O112" i="12" s="1"/>
  <c r="H111" i="12"/>
  <c r="O111" i="12" s="1"/>
  <c r="H110" i="12"/>
  <c r="O110" i="12" s="1"/>
  <c r="L109" i="12"/>
  <c r="H109" i="12"/>
  <c r="O109" i="12" s="1"/>
  <c r="L108" i="12"/>
  <c r="H108" i="12"/>
  <c r="L107" i="12"/>
  <c r="H107" i="12"/>
  <c r="H106" i="12"/>
  <c r="L105" i="12"/>
  <c r="N105" i="12" s="1"/>
  <c r="H105" i="12"/>
  <c r="O105" i="12" s="1"/>
  <c r="H104" i="12"/>
  <c r="L103" i="12"/>
  <c r="H103" i="12"/>
  <c r="O103" i="12" s="1"/>
  <c r="L102" i="12"/>
  <c r="N102" i="12" s="1"/>
  <c r="H102" i="12"/>
  <c r="O102" i="12" s="1"/>
  <c r="L101" i="12"/>
  <c r="H101" i="12"/>
  <c r="O101" i="12" s="1"/>
  <c r="L100" i="12"/>
  <c r="N100" i="12" s="1"/>
  <c r="H100" i="12"/>
  <c r="O100" i="12" s="1"/>
  <c r="L99" i="12"/>
  <c r="H99" i="12"/>
  <c r="O99" i="12" s="1"/>
  <c r="H98" i="12"/>
  <c r="N99" i="12" l="1"/>
  <c r="N101" i="12"/>
  <c r="N103" i="12"/>
  <c r="N107" i="12"/>
  <c r="O107" i="12" s="1"/>
  <c r="N117" i="12"/>
  <c r="N128" i="12"/>
  <c r="O128" i="12" s="1"/>
  <c r="N121" i="12"/>
  <c r="L126" i="12"/>
  <c r="H134" i="12"/>
  <c r="K133" i="12"/>
  <c r="L133" i="12" s="1"/>
  <c r="N133" i="12" s="1"/>
  <c r="O133" i="12" s="1"/>
  <c r="H215" i="13"/>
  <c r="H221" i="13"/>
  <c r="H71" i="13"/>
  <c r="H290" i="13"/>
  <c r="H65" i="13"/>
  <c r="H296" i="13"/>
  <c r="H288" i="6"/>
  <c r="H294" i="6"/>
  <c r="H215" i="6"/>
  <c r="H221" i="6"/>
  <c r="H138" i="5"/>
  <c r="H139" i="5" s="1"/>
  <c r="H144" i="5"/>
  <c r="H145" i="5" s="1"/>
  <c r="H367" i="5"/>
  <c r="H368" i="5" s="1"/>
  <c r="H361" i="5"/>
  <c r="H362" i="5" s="1"/>
  <c r="H294" i="5"/>
  <c r="H295" i="5" s="1"/>
  <c r="H287" i="5"/>
  <c r="H216" i="5"/>
  <c r="H210" i="5"/>
  <c r="H211" i="5" s="1"/>
  <c r="O123" i="10"/>
  <c r="N133" i="10"/>
  <c r="O133" i="10" s="1"/>
  <c r="N126" i="10"/>
  <c r="O126" i="10" s="1"/>
  <c r="H122" i="10"/>
  <c r="N113" i="12"/>
  <c r="N129" i="12"/>
  <c r="L123" i="12"/>
  <c r="N123" i="12" s="1"/>
  <c r="O123" i="12" s="1"/>
  <c r="O129" i="12"/>
  <c r="H114" i="12"/>
  <c r="N108" i="12"/>
  <c r="O108" i="12" s="1"/>
  <c r="N116" i="12"/>
  <c r="N118" i="12"/>
  <c r="N131" i="12"/>
  <c r="O131" i="12" s="1"/>
  <c r="N109" i="12"/>
  <c r="K130" i="12"/>
  <c r="L130" i="12" s="1"/>
  <c r="N130" i="12" s="1"/>
  <c r="O130" i="12" s="1"/>
  <c r="K132" i="12"/>
  <c r="L132" i="12" s="1"/>
  <c r="N132" i="12" s="1"/>
  <c r="O132" i="12" s="1"/>
  <c r="K134" i="12"/>
  <c r="L134" i="12" s="1"/>
  <c r="N134" i="12" s="1"/>
  <c r="O134" i="12" s="1"/>
  <c r="G124" i="12"/>
  <c r="L124" i="12"/>
  <c r="K127" i="12"/>
  <c r="L127" i="12" s="1"/>
  <c r="J120" i="12" l="1"/>
  <c r="H120" i="12"/>
  <c r="H296" i="6"/>
  <c r="H290" i="6"/>
  <c r="H363" i="5"/>
  <c r="H364" i="5" s="1"/>
  <c r="H369" i="5"/>
  <c r="H370" i="5" s="1"/>
  <c r="H288" i="5"/>
  <c r="H289" i="5" s="1"/>
  <c r="H212" i="5"/>
  <c r="H213" i="5" s="1"/>
  <c r="H217" i="5"/>
  <c r="H125" i="10"/>
  <c r="G127" i="12"/>
  <c r="H127" i="12" s="1"/>
  <c r="H124" i="12"/>
  <c r="G126" i="12"/>
  <c r="H126" i="12" s="1"/>
  <c r="H122" i="12"/>
  <c r="N127" i="12"/>
  <c r="N124" i="12"/>
  <c r="N120" i="12" l="1"/>
  <c r="O120" i="12" s="1"/>
  <c r="H218" i="5"/>
  <c r="H142" i="10"/>
  <c r="H136" i="10"/>
  <c r="O124" i="12"/>
  <c r="N126" i="12"/>
  <c r="O126" i="12" s="1"/>
  <c r="H125" i="12"/>
  <c r="H136" i="12" s="1"/>
  <c r="O127" i="12"/>
  <c r="G504" i="2"/>
  <c r="H504" i="2" s="1"/>
  <c r="G503" i="2"/>
  <c r="H503" i="2" s="1"/>
  <c r="H502" i="2"/>
  <c r="H501" i="2"/>
  <c r="H500" i="2"/>
  <c r="K499" i="2"/>
  <c r="L499" i="2" s="1"/>
  <c r="G499" i="2"/>
  <c r="H499" i="2" s="1"/>
  <c r="L498" i="2"/>
  <c r="H498" i="2"/>
  <c r="K493" i="2"/>
  <c r="L493" i="2" s="1"/>
  <c r="G493" i="2"/>
  <c r="H493" i="2" s="1"/>
  <c r="L491" i="2"/>
  <c r="H491" i="2"/>
  <c r="H489" i="2"/>
  <c r="L488" i="2"/>
  <c r="H488" i="2"/>
  <c r="O488" i="2" s="1"/>
  <c r="L487" i="2"/>
  <c r="H487" i="2"/>
  <c r="O487" i="2" s="1"/>
  <c r="L486" i="2"/>
  <c r="H486" i="2"/>
  <c r="O486" i="2" s="1"/>
  <c r="H485" i="2"/>
  <c r="L483" i="2"/>
  <c r="H483" i="2"/>
  <c r="O483" i="2" s="1"/>
  <c r="H482" i="2"/>
  <c r="O482" i="2" s="1"/>
  <c r="H481" i="2"/>
  <c r="O481" i="2" s="1"/>
  <c r="H480" i="2"/>
  <c r="O480" i="2" s="1"/>
  <c r="H479" i="2"/>
  <c r="O479" i="2" s="1"/>
  <c r="L478" i="2"/>
  <c r="H478" i="2"/>
  <c r="L477" i="2"/>
  <c r="H477" i="2"/>
  <c r="H476" i="2"/>
  <c r="L475" i="2"/>
  <c r="H475" i="2"/>
  <c r="H474" i="2"/>
  <c r="L473" i="2"/>
  <c r="H473" i="2"/>
  <c r="L472" i="2"/>
  <c r="H472" i="2"/>
  <c r="L471" i="2"/>
  <c r="H471" i="2"/>
  <c r="L470" i="2"/>
  <c r="H470" i="2"/>
  <c r="L469" i="2"/>
  <c r="H469" i="2"/>
  <c r="H468" i="2"/>
  <c r="G430" i="2"/>
  <c r="H430" i="2" s="1"/>
  <c r="G429" i="2"/>
  <c r="H429" i="2" s="1"/>
  <c r="H428" i="2"/>
  <c r="H427" i="2"/>
  <c r="H426" i="2"/>
  <c r="K425" i="2"/>
  <c r="L425" i="2" s="1"/>
  <c r="G425" i="2"/>
  <c r="H425" i="2" s="1"/>
  <c r="L424" i="2"/>
  <c r="H424" i="2"/>
  <c r="K419" i="2"/>
  <c r="L419" i="2" s="1"/>
  <c r="G419" i="2"/>
  <c r="H419" i="2" s="1"/>
  <c r="L417" i="2"/>
  <c r="H417" i="2"/>
  <c r="H415" i="2"/>
  <c r="L414" i="2"/>
  <c r="H414" i="2"/>
  <c r="O414" i="2" s="1"/>
  <c r="L413" i="2"/>
  <c r="H413" i="2"/>
  <c r="O413" i="2" s="1"/>
  <c r="L412" i="2"/>
  <c r="H412" i="2"/>
  <c r="O412" i="2" s="1"/>
  <c r="H411" i="2"/>
  <c r="L409" i="2"/>
  <c r="H409" i="2"/>
  <c r="O409" i="2" s="1"/>
  <c r="H408" i="2"/>
  <c r="O408" i="2" s="1"/>
  <c r="H407" i="2"/>
  <c r="O407" i="2" s="1"/>
  <c r="H406" i="2"/>
  <c r="O406" i="2" s="1"/>
  <c r="H405" i="2"/>
  <c r="O405" i="2" s="1"/>
  <c r="L404" i="2"/>
  <c r="H404" i="2"/>
  <c r="L403" i="2"/>
  <c r="H403" i="2"/>
  <c r="H402" i="2"/>
  <c r="L401" i="2"/>
  <c r="H401" i="2"/>
  <c r="H400" i="2"/>
  <c r="L399" i="2"/>
  <c r="H399" i="2"/>
  <c r="O399" i="2" s="1"/>
  <c r="L398" i="2"/>
  <c r="N398" i="2" s="1"/>
  <c r="H398" i="2"/>
  <c r="O398" i="2" s="1"/>
  <c r="L397" i="2"/>
  <c r="H397" i="2"/>
  <c r="O397" i="2" s="1"/>
  <c r="L396" i="2"/>
  <c r="N396" i="2" s="1"/>
  <c r="H396" i="2"/>
  <c r="O396" i="2" s="1"/>
  <c r="L395" i="2"/>
  <c r="N395" i="2" s="1"/>
  <c r="O395" i="2" s="1"/>
  <c r="H395" i="2"/>
  <c r="H394" i="2"/>
  <c r="G356" i="2"/>
  <c r="H356" i="2" s="1"/>
  <c r="G355" i="2"/>
  <c r="H355" i="2" s="1"/>
  <c r="H354" i="2"/>
  <c r="H353" i="2"/>
  <c r="H352" i="2"/>
  <c r="K351" i="2"/>
  <c r="L351" i="2" s="1"/>
  <c r="G351" i="2"/>
  <c r="H351" i="2" s="1"/>
  <c r="L350" i="2"/>
  <c r="H350" i="2"/>
  <c r="K345" i="2"/>
  <c r="L345" i="2" s="1"/>
  <c r="G345" i="2"/>
  <c r="H345" i="2" s="1"/>
  <c r="L343" i="2"/>
  <c r="H343" i="2"/>
  <c r="H341" i="2"/>
  <c r="L340" i="2"/>
  <c r="H340" i="2"/>
  <c r="O340" i="2" s="1"/>
  <c r="L339" i="2"/>
  <c r="H339" i="2"/>
  <c r="O339" i="2" s="1"/>
  <c r="L338" i="2"/>
  <c r="H338" i="2"/>
  <c r="O338" i="2" s="1"/>
  <c r="H337" i="2"/>
  <c r="L335" i="2"/>
  <c r="H335" i="2"/>
  <c r="O335" i="2" s="1"/>
  <c r="H334" i="2"/>
  <c r="O334" i="2" s="1"/>
  <c r="H333" i="2"/>
  <c r="O333" i="2" s="1"/>
  <c r="H332" i="2"/>
  <c r="O332" i="2" s="1"/>
  <c r="H331" i="2"/>
  <c r="O331" i="2" s="1"/>
  <c r="L330" i="2"/>
  <c r="H330" i="2"/>
  <c r="L329" i="2"/>
  <c r="H329" i="2"/>
  <c r="H328" i="2"/>
  <c r="L327" i="2"/>
  <c r="H327" i="2"/>
  <c r="H326" i="2"/>
  <c r="L325" i="2"/>
  <c r="N325" i="2" s="1"/>
  <c r="H325" i="2"/>
  <c r="O325" i="2" s="1"/>
  <c r="L324" i="2"/>
  <c r="H324" i="2"/>
  <c r="O324" i="2" s="1"/>
  <c r="L323" i="2"/>
  <c r="N323" i="2" s="1"/>
  <c r="H323" i="2"/>
  <c r="O323" i="2" s="1"/>
  <c r="L322" i="2"/>
  <c r="H322" i="2"/>
  <c r="O322" i="2" s="1"/>
  <c r="L321" i="2"/>
  <c r="H321" i="2"/>
  <c r="H320" i="2"/>
  <c r="G282" i="2"/>
  <c r="H282" i="2" s="1"/>
  <c r="O282" i="2" s="1"/>
  <c r="G281" i="2"/>
  <c r="H281" i="2" s="1"/>
  <c r="H280" i="2"/>
  <c r="H279" i="2"/>
  <c r="H278" i="2"/>
  <c r="K277" i="2"/>
  <c r="L277" i="2" s="1"/>
  <c r="G277" i="2"/>
  <c r="H277" i="2" s="1"/>
  <c r="L276" i="2"/>
  <c r="H276" i="2"/>
  <c r="K271" i="2"/>
  <c r="L271" i="2" s="1"/>
  <c r="G271" i="2"/>
  <c r="H271" i="2" s="1"/>
  <c r="L269" i="2"/>
  <c r="H269" i="2"/>
  <c r="H267" i="2"/>
  <c r="L266" i="2"/>
  <c r="H266" i="2"/>
  <c r="O266" i="2" s="1"/>
  <c r="L265" i="2"/>
  <c r="H265" i="2"/>
  <c r="O265" i="2" s="1"/>
  <c r="L264" i="2"/>
  <c r="H264" i="2"/>
  <c r="O264" i="2" s="1"/>
  <c r="H263" i="2"/>
  <c r="L261" i="2"/>
  <c r="H261" i="2"/>
  <c r="O261" i="2" s="1"/>
  <c r="H260" i="2"/>
  <c r="O260" i="2" s="1"/>
  <c r="H259" i="2"/>
  <c r="O259" i="2" s="1"/>
  <c r="H258" i="2"/>
  <c r="O258" i="2" s="1"/>
  <c r="H257" i="2"/>
  <c r="O257" i="2" s="1"/>
  <c r="L256" i="2"/>
  <c r="H256" i="2"/>
  <c r="L255" i="2"/>
  <c r="H255" i="2"/>
  <c r="H254" i="2"/>
  <c r="L253" i="2"/>
  <c r="H253" i="2"/>
  <c r="H252" i="2"/>
  <c r="L251" i="2"/>
  <c r="H251" i="2"/>
  <c r="O251" i="2" s="1"/>
  <c r="L250" i="2"/>
  <c r="H250" i="2"/>
  <c r="O250" i="2" s="1"/>
  <c r="L249" i="2"/>
  <c r="H249" i="2"/>
  <c r="O249" i="2" s="1"/>
  <c r="L248" i="2"/>
  <c r="H248" i="2"/>
  <c r="O248" i="2" s="1"/>
  <c r="L247" i="2"/>
  <c r="H247" i="2"/>
  <c r="H246" i="2"/>
  <c r="G208" i="2"/>
  <c r="H208" i="2" s="1"/>
  <c r="O208" i="2" s="1"/>
  <c r="G207" i="2"/>
  <c r="H207" i="2" s="1"/>
  <c r="H206" i="2"/>
  <c r="H205" i="2"/>
  <c r="H204" i="2"/>
  <c r="K203" i="2"/>
  <c r="L203" i="2" s="1"/>
  <c r="G203" i="2"/>
  <c r="H203" i="2" s="1"/>
  <c r="L202" i="2"/>
  <c r="H202" i="2"/>
  <c r="K197" i="2"/>
  <c r="L197" i="2" s="1"/>
  <c r="G197" i="2"/>
  <c r="H197" i="2" s="1"/>
  <c r="L195" i="2"/>
  <c r="H195" i="2"/>
  <c r="H193" i="2"/>
  <c r="L192" i="2"/>
  <c r="H192" i="2"/>
  <c r="O192" i="2" s="1"/>
  <c r="L191" i="2"/>
  <c r="H191" i="2"/>
  <c r="O191" i="2" s="1"/>
  <c r="L190" i="2"/>
  <c r="H190" i="2"/>
  <c r="O190" i="2" s="1"/>
  <c r="H189" i="2"/>
  <c r="L187" i="2"/>
  <c r="H187" i="2"/>
  <c r="O187" i="2" s="1"/>
  <c r="H186" i="2"/>
  <c r="O186" i="2" s="1"/>
  <c r="H185" i="2"/>
  <c r="O185" i="2" s="1"/>
  <c r="H184" i="2"/>
  <c r="O184" i="2" s="1"/>
  <c r="H183" i="2"/>
  <c r="O183" i="2" s="1"/>
  <c r="L182" i="2"/>
  <c r="H182" i="2"/>
  <c r="L181" i="2"/>
  <c r="H181" i="2"/>
  <c r="H180" i="2"/>
  <c r="L179" i="2"/>
  <c r="H179" i="2"/>
  <c r="H178" i="2"/>
  <c r="L177" i="2"/>
  <c r="N177" i="2" s="1"/>
  <c r="H177" i="2"/>
  <c r="O177" i="2" s="1"/>
  <c r="L176" i="2"/>
  <c r="H176" i="2"/>
  <c r="O176" i="2" s="1"/>
  <c r="L175" i="2"/>
  <c r="H175" i="2"/>
  <c r="O175" i="2" s="1"/>
  <c r="L174" i="2"/>
  <c r="H174" i="2"/>
  <c r="O174" i="2" s="1"/>
  <c r="L173" i="2"/>
  <c r="H173" i="2"/>
  <c r="H172" i="2"/>
  <c r="G134" i="2"/>
  <c r="H134" i="2" s="1"/>
  <c r="G133" i="2"/>
  <c r="H133" i="2" s="1"/>
  <c r="H132" i="2"/>
  <c r="H131" i="2"/>
  <c r="H130" i="2"/>
  <c r="K129" i="2"/>
  <c r="L129" i="2" s="1"/>
  <c r="G129" i="2"/>
  <c r="H129" i="2" s="1"/>
  <c r="L128" i="2"/>
  <c r="H128" i="2"/>
  <c r="K123" i="2"/>
  <c r="L123" i="2" s="1"/>
  <c r="H123" i="2"/>
  <c r="L121" i="2"/>
  <c r="N121" i="2" s="1"/>
  <c r="H121" i="2"/>
  <c r="H119" i="2"/>
  <c r="L118" i="2"/>
  <c r="H118" i="2"/>
  <c r="O118" i="2" s="1"/>
  <c r="L117" i="2"/>
  <c r="H117" i="2"/>
  <c r="O117" i="2" s="1"/>
  <c r="L116" i="2"/>
  <c r="H116" i="2"/>
  <c r="O116" i="2" s="1"/>
  <c r="H115" i="2"/>
  <c r="L113" i="2"/>
  <c r="H113" i="2"/>
  <c r="O113" i="2" s="1"/>
  <c r="H112" i="2"/>
  <c r="O112" i="2" s="1"/>
  <c r="H111" i="2"/>
  <c r="O111" i="2" s="1"/>
  <c r="H110" i="2"/>
  <c r="O110" i="2" s="1"/>
  <c r="H109" i="2"/>
  <c r="O109" i="2" s="1"/>
  <c r="L108" i="2"/>
  <c r="H108" i="2"/>
  <c r="L107" i="2"/>
  <c r="H107" i="2"/>
  <c r="H106" i="2"/>
  <c r="L105" i="2"/>
  <c r="H105" i="2"/>
  <c r="H104" i="2"/>
  <c r="L103" i="2"/>
  <c r="H103" i="2"/>
  <c r="L102" i="2"/>
  <c r="H102" i="2"/>
  <c r="L101" i="2"/>
  <c r="H101" i="2"/>
  <c r="L100" i="2"/>
  <c r="H100" i="2"/>
  <c r="L99" i="2"/>
  <c r="H99" i="2"/>
  <c r="H98" i="2"/>
  <c r="N99" i="2" l="1"/>
  <c r="N100" i="2"/>
  <c r="N101" i="2"/>
  <c r="N102" i="2"/>
  <c r="N103" i="2"/>
  <c r="N105" i="2"/>
  <c r="N175" i="2"/>
  <c r="N475" i="2"/>
  <c r="N401" i="2"/>
  <c r="N417" i="2"/>
  <c r="H219" i="5"/>
  <c r="N486" i="2"/>
  <c r="N487" i="2"/>
  <c r="N488" i="2"/>
  <c r="H143" i="10"/>
  <c r="H137" i="10"/>
  <c r="K130" i="2"/>
  <c r="L130" i="2" s="1"/>
  <c r="N130" i="2" s="1"/>
  <c r="O130" i="2" s="1"/>
  <c r="N339" i="2"/>
  <c r="L342" i="2"/>
  <c r="N338" i="2"/>
  <c r="N340" i="2"/>
  <c r="N409" i="2"/>
  <c r="H137" i="12"/>
  <c r="H138" i="12" s="1"/>
  <c r="H139" i="12" s="1"/>
  <c r="H142" i="12"/>
  <c r="N469" i="2"/>
  <c r="N470" i="2"/>
  <c r="N471" i="2"/>
  <c r="N472" i="2"/>
  <c r="N473" i="2"/>
  <c r="N190" i="2"/>
  <c r="N191" i="2"/>
  <c r="N192" i="2"/>
  <c r="L194" i="2"/>
  <c r="N247" i="2"/>
  <c r="O247" i="2" s="1"/>
  <c r="N248" i="2"/>
  <c r="N250" i="2"/>
  <c r="N253" i="2"/>
  <c r="N261" i="2"/>
  <c r="N269" i="2"/>
  <c r="N491" i="2"/>
  <c r="L490" i="2"/>
  <c r="N116" i="2"/>
  <c r="N117" i="2"/>
  <c r="N118" i="2"/>
  <c r="L120" i="2"/>
  <c r="K132" i="2"/>
  <c r="L132" i="2" s="1"/>
  <c r="N132" i="2" s="1"/>
  <c r="N173" i="2"/>
  <c r="O173" i="2" s="1"/>
  <c r="N174" i="2"/>
  <c r="N176" i="2"/>
  <c r="N195" i="2"/>
  <c r="H262" i="2"/>
  <c r="N249" i="2"/>
  <c r="N251" i="2"/>
  <c r="N264" i="2"/>
  <c r="N265" i="2"/>
  <c r="N266" i="2"/>
  <c r="L268" i="2"/>
  <c r="N321" i="2"/>
  <c r="O321" i="2" s="1"/>
  <c r="N322" i="2"/>
  <c r="N324" i="2"/>
  <c r="N343" i="2"/>
  <c r="H410" i="2"/>
  <c r="N397" i="2"/>
  <c r="N399" i="2"/>
  <c r="N412" i="2"/>
  <c r="N413" i="2"/>
  <c r="N414" i="2"/>
  <c r="L416" i="2"/>
  <c r="H188" i="2"/>
  <c r="N179" i="2"/>
  <c r="N187" i="2"/>
  <c r="H336" i="2"/>
  <c r="N327" i="2"/>
  <c r="O327" i="2" s="1"/>
  <c r="N335" i="2"/>
  <c r="N483" i="2"/>
  <c r="H490" i="2"/>
  <c r="N490" i="2" s="1"/>
  <c r="O490" i="2" s="1"/>
  <c r="H416" i="2"/>
  <c r="H342" i="2"/>
  <c r="N342" i="2" s="1"/>
  <c r="O342" i="2" s="1"/>
  <c r="H268" i="2"/>
  <c r="H194" i="2"/>
  <c r="N194" i="2" s="1"/>
  <c r="O194" i="2" s="1"/>
  <c r="H484" i="2"/>
  <c r="O469" i="2"/>
  <c r="O470" i="2"/>
  <c r="O471" i="2"/>
  <c r="O472" i="2"/>
  <c r="O473" i="2"/>
  <c r="O475" i="2"/>
  <c r="N477" i="2"/>
  <c r="O477" i="2" s="1"/>
  <c r="N493" i="2"/>
  <c r="O493" i="2" s="1"/>
  <c r="N499" i="2"/>
  <c r="N478" i="2"/>
  <c r="O478" i="2" s="1"/>
  <c r="O499" i="2"/>
  <c r="G494" i="2"/>
  <c r="K494" i="2"/>
  <c r="N498" i="2"/>
  <c r="O498" i="2" s="1"/>
  <c r="K500" i="2"/>
  <c r="L500" i="2" s="1"/>
  <c r="N500" i="2" s="1"/>
  <c r="O500" i="2" s="1"/>
  <c r="K501" i="2"/>
  <c r="L501" i="2" s="1"/>
  <c r="N501" i="2" s="1"/>
  <c r="O501" i="2" s="1"/>
  <c r="K502" i="2"/>
  <c r="L502" i="2" s="1"/>
  <c r="N502" i="2" s="1"/>
  <c r="O502" i="2" s="1"/>
  <c r="K503" i="2"/>
  <c r="L503" i="2" s="1"/>
  <c r="K504" i="2"/>
  <c r="L504" i="2" s="1"/>
  <c r="N504" i="2" s="1"/>
  <c r="O504" i="2" s="1"/>
  <c r="N404" i="2"/>
  <c r="O404" i="2" s="1"/>
  <c r="N419" i="2"/>
  <c r="O419" i="2" s="1"/>
  <c r="N425" i="2"/>
  <c r="O425" i="2" s="1"/>
  <c r="O401" i="2"/>
  <c r="N403" i="2"/>
  <c r="O403" i="2" s="1"/>
  <c r="G420" i="2"/>
  <c r="K420" i="2"/>
  <c r="N424" i="2"/>
  <c r="O424" i="2" s="1"/>
  <c r="L426" i="2"/>
  <c r="N426" i="2" s="1"/>
  <c r="O426" i="2" s="1"/>
  <c r="K427" i="2"/>
  <c r="L427" i="2" s="1"/>
  <c r="N427" i="2" s="1"/>
  <c r="O427" i="2" s="1"/>
  <c r="K428" i="2"/>
  <c r="L428" i="2" s="1"/>
  <c r="N428" i="2" s="1"/>
  <c r="O428" i="2" s="1"/>
  <c r="K429" i="2"/>
  <c r="L429" i="2" s="1"/>
  <c r="K430" i="2"/>
  <c r="L430" i="2" s="1"/>
  <c r="N430" i="2" s="1"/>
  <c r="O430" i="2" s="1"/>
  <c r="N330" i="2"/>
  <c r="O330" i="2" s="1"/>
  <c r="N345" i="2"/>
  <c r="O345" i="2" s="1"/>
  <c r="N351" i="2"/>
  <c r="O351" i="2" s="1"/>
  <c r="N329" i="2"/>
  <c r="O329" i="2" s="1"/>
  <c r="G346" i="2"/>
  <c r="K346" i="2"/>
  <c r="N350" i="2"/>
  <c r="O350" i="2" s="1"/>
  <c r="K352" i="2"/>
  <c r="L352" i="2" s="1"/>
  <c r="N352" i="2" s="1"/>
  <c r="O352" i="2" s="1"/>
  <c r="K353" i="2"/>
  <c r="L353" i="2" s="1"/>
  <c r="N353" i="2" s="1"/>
  <c r="O353" i="2" s="1"/>
  <c r="K354" i="2"/>
  <c r="L354" i="2" s="1"/>
  <c r="N354" i="2" s="1"/>
  <c r="O354" i="2" s="1"/>
  <c r="K355" i="2"/>
  <c r="L355" i="2" s="1"/>
  <c r="K356" i="2"/>
  <c r="L356" i="2" s="1"/>
  <c r="N356" i="2" s="1"/>
  <c r="O356" i="2" s="1"/>
  <c r="N256" i="2"/>
  <c r="O256" i="2" s="1"/>
  <c r="N271" i="2"/>
  <c r="O271" i="2" s="1"/>
  <c r="N277" i="2"/>
  <c r="O277" i="2" s="1"/>
  <c r="O253" i="2"/>
  <c r="N255" i="2"/>
  <c r="O255" i="2" s="1"/>
  <c r="G272" i="2"/>
  <c r="K272" i="2"/>
  <c r="N276" i="2"/>
  <c r="O276" i="2" s="1"/>
  <c r="K278" i="2"/>
  <c r="L278" i="2" s="1"/>
  <c r="N278" i="2" s="1"/>
  <c r="O278" i="2" s="1"/>
  <c r="K279" i="2"/>
  <c r="L279" i="2" s="1"/>
  <c r="N279" i="2" s="1"/>
  <c r="O279" i="2" s="1"/>
  <c r="K280" i="2"/>
  <c r="L280" i="2" s="1"/>
  <c r="N280" i="2" s="1"/>
  <c r="O280" i="2" s="1"/>
  <c r="K281" i="2"/>
  <c r="L281" i="2" s="1"/>
  <c r="K282" i="2"/>
  <c r="L282" i="2" s="1"/>
  <c r="N282" i="2" s="1"/>
  <c r="N182" i="2"/>
  <c r="O182" i="2" s="1"/>
  <c r="N197" i="2"/>
  <c r="O197" i="2" s="1"/>
  <c r="N203" i="2"/>
  <c r="O179" i="2"/>
  <c r="N181" i="2"/>
  <c r="O181" i="2" s="1"/>
  <c r="O203" i="2"/>
  <c r="G198" i="2"/>
  <c r="K198" i="2"/>
  <c r="N202" i="2"/>
  <c r="O202" i="2" s="1"/>
  <c r="K204" i="2"/>
  <c r="L204" i="2" s="1"/>
  <c r="N204" i="2" s="1"/>
  <c r="O204" i="2" s="1"/>
  <c r="K205" i="2"/>
  <c r="L205" i="2" s="1"/>
  <c r="N205" i="2" s="1"/>
  <c r="O205" i="2" s="1"/>
  <c r="K206" i="2"/>
  <c r="L206" i="2" s="1"/>
  <c r="N206" i="2" s="1"/>
  <c r="O206" i="2" s="1"/>
  <c r="K207" i="2"/>
  <c r="L207" i="2" s="1"/>
  <c r="K208" i="2"/>
  <c r="L208" i="2" s="1"/>
  <c r="N208" i="2" s="1"/>
  <c r="G124" i="2"/>
  <c r="H124" i="2" s="1"/>
  <c r="H120" i="2"/>
  <c r="N123" i="2"/>
  <c r="O123" i="2" s="1"/>
  <c r="H114" i="2"/>
  <c r="O99" i="2"/>
  <c r="O100" i="2"/>
  <c r="O101" i="2"/>
  <c r="O102" i="2"/>
  <c r="O103" i="2"/>
  <c r="O105" i="2"/>
  <c r="N107" i="2"/>
  <c r="O107" i="2" s="1"/>
  <c r="N113" i="2"/>
  <c r="G127" i="2"/>
  <c r="H127" i="2" s="1"/>
  <c r="N129" i="2"/>
  <c r="O129" i="2" s="1"/>
  <c r="N108" i="2"/>
  <c r="O108" i="2" s="1"/>
  <c r="K124" i="2"/>
  <c r="N128" i="2"/>
  <c r="O128" i="2" s="1"/>
  <c r="K131" i="2"/>
  <c r="L131" i="2" s="1"/>
  <c r="N131" i="2" s="1"/>
  <c r="O131" i="2" s="1"/>
  <c r="O132" i="2"/>
  <c r="K133" i="2"/>
  <c r="L133" i="2" s="1"/>
  <c r="K134" i="2"/>
  <c r="L134" i="2" s="1"/>
  <c r="N134" i="2" s="1"/>
  <c r="O134" i="2" s="1"/>
  <c r="H418" i="2" l="1"/>
  <c r="H270" i="2"/>
  <c r="H138" i="10"/>
  <c r="H144" i="10"/>
  <c r="H196" i="2"/>
  <c r="H140" i="12"/>
  <c r="H143" i="12"/>
  <c r="H144" i="12" s="1"/>
  <c r="G126" i="2"/>
  <c r="H126" i="2" s="1"/>
  <c r="H344" i="2"/>
  <c r="N268" i="2"/>
  <c r="O268" i="2" s="1"/>
  <c r="N416" i="2"/>
  <c r="O416" i="2" s="1"/>
  <c r="L494" i="2"/>
  <c r="K497" i="2"/>
  <c r="L497" i="2" s="1"/>
  <c r="K496" i="2"/>
  <c r="L496" i="2" s="1"/>
  <c r="H492" i="2"/>
  <c r="N503" i="2"/>
  <c r="O503" i="2" s="1"/>
  <c r="H494" i="2"/>
  <c r="G497" i="2"/>
  <c r="H497" i="2" s="1"/>
  <c r="G496" i="2"/>
  <c r="H496" i="2" s="1"/>
  <c r="L420" i="2"/>
  <c r="K423" i="2"/>
  <c r="L423" i="2" s="1"/>
  <c r="K422" i="2"/>
  <c r="L422" i="2" s="1"/>
  <c r="N429" i="2"/>
  <c r="O429" i="2" s="1"/>
  <c r="H420" i="2"/>
  <c r="G423" i="2"/>
  <c r="H423" i="2" s="1"/>
  <c r="G422" i="2"/>
  <c r="H422" i="2" s="1"/>
  <c r="N355" i="2"/>
  <c r="O355" i="2" s="1"/>
  <c r="H346" i="2"/>
  <c r="G349" i="2"/>
  <c r="H349" i="2" s="1"/>
  <c r="G348" i="2"/>
  <c r="H348" i="2" s="1"/>
  <c r="L346" i="2"/>
  <c r="K349" i="2"/>
  <c r="L349" i="2" s="1"/>
  <c r="K348" i="2"/>
  <c r="L348" i="2" s="1"/>
  <c r="N281" i="2"/>
  <c r="O281" i="2" s="1"/>
  <c r="H272" i="2"/>
  <c r="G275" i="2"/>
  <c r="H275" i="2" s="1"/>
  <c r="G274" i="2"/>
  <c r="H274" i="2" s="1"/>
  <c r="L272" i="2"/>
  <c r="K275" i="2"/>
  <c r="L275" i="2" s="1"/>
  <c r="K274" i="2"/>
  <c r="L274" i="2" s="1"/>
  <c r="H273" i="2"/>
  <c r="L198" i="2"/>
  <c r="K201" i="2"/>
  <c r="L201" i="2" s="1"/>
  <c r="K200" i="2"/>
  <c r="L200" i="2" s="1"/>
  <c r="N207" i="2"/>
  <c r="O207" i="2" s="1"/>
  <c r="H198" i="2"/>
  <c r="G201" i="2"/>
  <c r="H201" i="2" s="1"/>
  <c r="G200" i="2"/>
  <c r="H200" i="2" s="1"/>
  <c r="N120" i="2"/>
  <c r="O120" i="2" s="1"/>
  <c r="L124" i="2"/>
  <c r="N124" i="2" s="1"/>
  <c r="O124" i="2" s="1"/>
  <c r="K127" i="2"/>
  <c r="L127" i="2" s="1"/>
  <c r="N127" i="2" s="1"/>
  <c r="O127" i="2" s="1"/>
  <c r="K126" i="2"/>
  <c r="L126" i="2" s="1"/>
  <c r="H122" i="2"/>
  <c r="N133" i="2"/>
  <c r="O133" i="2" s="1"/>
  <c r="H347" i="2" l="1"/>
  <c r="N272" i="2"/>
  <c r="H146" i="10"/>
  <c r="H140" i="10"/>
  <c r="H146" i="12"/>
  <c r="N275" i="2"/>
  <c r="N349" i="2"/>
  <c r="O272" i="2"/>
  <c r="H495" i="2"/>
  <c r="H506" i="2" s="1"/>
  <c r="N497" i="2"/>
  <c r="O497" i="2" s="1"/>
  <c r="N496" i="2"/>
  <c r="O496" i="2" s="1"/>
  <c r="N494" i="2"/>
  <c r="O494" i="2" s="1"/>
  <c r="N423" i="2"/>
  <c r="O423" i="2" s="1"/>
  <c r="H421" i="2"/>
  <c r="N422" i="2"/>
  <c r="O422" i="2" s="1"/>
  <c r="N420" i="2"/>
  <c r="O420" i="2" s="1"/>
  <c r="H364" i="2"/>
  <c r="N348" i="2"/>
  <c r="N346" i="2"/>
  <c r="O346" i="2" s="1"/>
  <c r="O349" i="2"/>
  <c r="O348" i="2"/>
  <c r="H358" i="2"/>
  <c r="H290" i="2"/>
  <c r="N274" i="2"/>
  <c r="O275" i="2"/>
  <c r="O274" i="2"/>
  <c r="H284" i="2"/>
  <c r="N201" i="2"/>
  <c r="O201" i="2" s="1"/>
  <c r="H199" i="2"/>
  <c r="N200" i="2"/>
  <c r="O200" i="2" s="1"/>
  <c r="N198" i="2"/>
  <c r="O198" i="2" s="1"/>
  <c r="H125" i="2"/>
  <c r="N126" i="2"/>
  <c r="O126" i="2" s="1"/>
  <c r="H507" i="2" l="1"/>
  <c r="H508" i="2" s="1"/>
  <c r="H512" i="2"/>
  <c r="H438" i="2"/>
  <c r="H432" i="2"/>
  <c r="H359" i="2"/>
  <c r="H360" i="2" s="1"/>
  <c r="H365" i="2"/>
  <c r="H366" i="2" s="1"/>
  <c r="H291" i="2"/>
  <c r="H292" i="2" s="1"/>
  <c r="H285" i="2"/>
  <c r="H286" i="2" s="1"/>
  <c r="H216" i="2"/>
  <c r="H210" i="2"/>
  <c r="H142" i="2"/>
  <c r="H136" i="2"/>
  <c r="H509" i="2" l="1"/>
  <c r="H510" i="2" s="1"/>
  <c r="H513" i="2"/>
  <c r="H514" i="2" s="1"/>
  <c r="H439" i="2"/>
  <c r="H440" i="2" s="1"/>
  <c r="H433" i="2"/>
  <c r="H361" i="2"/>
  <c r="H362" i="2" s="1"/>
  <c r="H367" i="2"/>
  <c r="H368" i="2" s="1"/>
  <c r="H293" i="2"/>
  <c r="H294" i="2" s="1"/>
  <c r="H287" i="2"/>
  <c r="H288" i="2" s="1"/>
  <c r="H217" i="2"/>
  <c r="H218" i="2" s="1"/>
  <c r="H211" i="2"/>
  <c r="H143" i="2"/>
  <c r="H144" i="2" s="1"/>
  <c r="H137" i="2"/>
  <c r="H212" i="2" l="1"/>
  <c r="H213" i="2" s="1"/>
  <c r="H214" i="2" s="1"/>
  <c r="H434" i="2"/>
  <c r="H435" i="2" s="1"/>
  <c r="H436" i="2" s="1"/>
  <c r="H138" i="2"/>
  <c r="H139" i="2" s="1"/>
  <c r="H140" i="2" s="1"/>
  <c r="H515" i="2"/>
  <c r="H516" i="2" s="1"/>
  <c r="H441" i="2"/>
  <c r="H442" i="2" s="1"/>
  <c r="H219" i="2"/>
  <c r="H220" i="2" s="1"/>
  <c r="H145" i="2"/>
  <c r="H146" i="2" s="1"/>
  <c r="F19" i="11" l="1"/>
  <c r="H58" i="12" l="1"/>
  <c r="G57" i="12"/>
  <c r="H57" i="12" s="1"/>
  <c r="G56" i="12"/>
  <c r="H56" i="12" s="1"/>
  <c r="G55" i="12"/>
  <c r="H55" i="12" s="1"/>
  <c r="K54" i="12"/>
  <c r="J54" i="12"/>
  <c r="G54" i="12"/>
  <c r="H54" i="12" s="1"/>
  <c r="L53" i="12"/>
  <c r="J53" i="12"/>
  <c r="H53" i="12"/>
  <c r="J51" i="12"/>
  <c r="K48" i="12"/>
  <c r="K49" i="12" s="1"/>
  <c r="G48" i="12"/>
  <c r="G49" i="12" s="1"/>
  <c r="L46" i="12"/>
  <c r="H46" i="12"/>
  <c r="K45" i="12"/>
  <c r="G45" i="12"/>
  <c r="K44" i="12"/>
  <c r="G44" i="12"/>
  <c r="H44" i="12" s="1"/>
  <c r="K43" i="12"/>
  <c r="L43" i="12" s="1"/>
  <c r="G43" i="12"/>
  <c r="H43" i="12" s="1"/>
  <c r="O43" i="12" s="1"/>
  <c r="K42" i="12"/>
  <c r="L42" i="12" s="1"/>
  <c r="G42" i="12"/>
  <c r="H42" i="12" s="1"/>
  <c r="O42" i="12" s="1"/>
  <c r="K41" i="12"/>
  <c r="L41" i="12" s="1"/>
  <c r="G41" i="12"/>
  <c r="H41" i="12" s="1"/>
  <c r="O41" i="12" s="1"/>
  <c r="K40" i="12"/>
  <c r="G40" i="12"/>
  <c r="H40" i="12" s="1"/>
  <c r="K38" i="12"/>
  <c r="L38" i="12" s="1"/>
  <c r="G38" i="12"/>
  <c r="H38" i="12" s="1"/>
  <c r="O38" i="12" s="1"/>
  <c r="K37" i="12"/>
  <c r="H37" i="12"/>
  <c r="O37" i="12" s="1"/>
  <c r="G37" i="12"/>
  <c r="K36" i="12"/>
  <c r="H36" i="12"/>
  <c r="O36" i="12" s="1"/>
  <c r="G36" i="12"/>
  <c r="K35" i="12"/>
  <c r="G35" i="12"/>
  <c r="H35" i="12" s="1"/>
  <c r="O35" i="12" s="1"/>
  <c r="L34" i="12"/>
  <c r="H34" i="12"/>
  <c r="O34" i="12" s="1"/>
  <c r="K33" i="12"/>
  <c r="L33" i="12" s="1"/>
  <c r="G33" i="12"/>
  <c r="H33" i="12" s="1"/>
  <c r="K32" i="12"/>
  <c r="L32" i="12" s="1"/>
  <c r="G32" i="12"/>
  <c r="H32" i="12" s="1"/>
  <c r="K31" i="12"/>
  <c r="G31" i="12"/>
  <c r="H31" i="12" s="1"/>
  <c r="K30" i="12"/>
  <c r="L30" i="12" s="1"/>
  <c r="H30" i="12"/>
  <c r="O30" i="12" s="1"/>
  <c r="K29" i="12"/>
  <c r="G29" i="12"/>
  <c r="H29" i="12" s="1"/>
  <c r="L28" i="12"/>
  <c r="H28" i="12"/>
  <c r="L27" i="12"/>
  <c r="H27" i="12"/>
  <c r="L26" i="12"/>
  <c r="H26" i="12"/>
  <c r="L25" i="12"/>
  <c r="H25" i="12"/>
  <c r="O25" i="12" s="1"/>
  <c r="L24" i="12"/>
  <c r="H24" i="12"/>
  <c r="H23" i="12"/>
  <c r="K52" i="12" l="1"/>
  <c r="K51" i="12"/>
  <c r="N34" i="12"/>
  <c r="H59" i="12"/>
  <c r="J45" i="12"/>
  <c r="L45" i="12" s="1"/>
  <c r="L51" i="12"/>
  <c r="N46" i="12"/>
  <c r="L48" i="12"/>
  <c r="N26" i="12"/>
  <c r="N27" i="12"/>
  <c r="N28" i="12"/>
  <c r="N43" i="12"/>
  <c r="H45" i="12"/>
  <c r="N53" i="12"/>
  <c r="O53" i="12" s="1"/>
  <c r="L54" i="12"/>
  <c r="N54" i="12" s="1"/>
  <c r="O54" i="12" s="1"/>
  <c r="N38" i="12"/>
  <c r="N30" i="12"/>
  <c r="N33" i="12"/>
  <c r="O33" i="12" s="1"/>
  <c r="N24" i="12"/>
  <c r="O24" i="12" s="1"/>
  <c r="N25" i="12"/>
  <c r="H39" i="12"/>
  <c r="O26" i="12"/>
  <c r="O27" i="12"/>
  <c r="O28" i="12"/>
  <c r="N32" i="12"/>
  <c r="O32" i="12" s="1"/>
  <c r="N41" i="12"/>
  <c r="N42" i="12"/>
  <c r="G52" i="12"/>
  <c r="H52" i="12" s="1"/>
  <c r="G51" i="12"/>
  <c r="H51" i="12" s="1"/>
  <c r="H49" i="12"/>
  <c r="L52" i="12"/>
  <c r="K55" i="12"/>
  <c r="L55" i="12" s="1"/>
  <c r="N55" i="12" s="1"/>
  <c r="O55" i="12" s="1"/>
  <c r="K56" i="12"/>
  <c r="L56" i="12" s="1"/>
  <c r="N56" i="12" s="1"/>
  <c r="O56" i="12" s="1"/>
  <c r="K57" i="12"/>
  <c r="L57" i="12" s="1"/>
  <c r="N57" i="12" s="1"/>
  <c r="O57" i="12" s="1"/>
  <c r="K58" i="12"/>
  <c r="L58" i="12" s="1"/>
  <c r="K59" i="12"/>
  <c r="L59" i="12" s="1"/>
  <c r="N59" i="12" s="1"/>
  <c r="O59" i="12" s="1"/>
  <c r="H48" i="12"/>
  <c r="L49" i="12"/>
  <c r="N49" i="12" s="1"/>
  <c r="G59" i="11"/>
  <c r="F45" i="11" s="1"/>
  <c r="G58" i="11"/>
  <c r="H58" i="11" s="1"/>
  <c r="G57" i="11"/>
  <c r="H57" i="11" s="1"/>
  <c r="G56" i="11"/>
  <c r="H56" i="11" s="1"/>
  <c r="G55" i="11"/>
  <c r="H55" i="11" s="1"/>
  <c r="K54" i="11"/>
  <c r="J54" i="11"/>
  <c r="G54" i="11"/>
  <c r="H54" i="11" s="1"/>
  <c r="J53" i="11"/>
  <c r="L53" i="11" s="1"/>
  <c r="H53" i="11"/>
  <c r="K52" i="11"/>
  <c r="J51" i="11"/>
  <c r="G51" i="11"/>
  <c r="G52" i="11" s="1"/>
  <c r="H52" i="11" s="1"/>
  <c r="K49" i="11"/>
  <c r="G48" i="11"/>
  <c r="G49" i="11" s="1"/>
  <c r="H49" i="11" s="1"/>
  <c r="L46" i="11"/>
  <c r="H46" i="11"/>
  <c r="K44" i="11"/>
  <c r="G44" i="11"/>
  <c r="H44" i="11" s="1"/>
  <c r="K43" i="11"/>
  <c r="L43" i="11" s="1"/>
  <c r="G43" i="11"/>
  <c r="H43" i="11" s="1"/>
  <c r="O43" i="11" s="1"/>
  <c r="K42" i="11"/>
  <c r="L42" i="11" s="1"/>
  <c r="G42" i="11"/>
  <c r="H42" i="11" s="1"/>
  <c r="O42" i="11" s="1"/>
  <c r="K41" i="11"/>
  <c r="L41" i="11" s="1"/>
  <c r="G41" i="11"/>
  <c r="H41" i="11" s="1"/>
  <c r="O41" i="11" s="1"/>
  <c r="K40" i="11"/>
  <c r="G40" i="11"/>
  <c r="H40" i="11" s="1"/>
  <c r="K38" i="11"/>
  <c r="L38" i="11" s="1"/>
  <c r="G38" i="11"/>
  <c r="H38" i="11" s="1"/>
  <c r="O38" i="11" s="1"/>
  <c r="K37" i="11"/>
  <c r="G37" i="11"/>
  <c r="H37" i="11" s="1"/>
  <c r="O37" i="11" s="1"/>
  <c r="K36" i="11"/>
  <c r="G36" i="11"/>
  <c r="H36" i="11" s="1"/>
  <c r="O36" i="11" s="1"/>
  <c r="K35" i="11"/>
  <c r="L35" i="11" s="1"/>
  <c r="G35" i="11"/>
  <c r="H35" i="11" s="1"/>
  <c r="K34" i="11"/>
  <c r="G34" i="11"/>
  <c r="H34" i="11" s="1"/>
  <c r="O34" i="11" s="1"/>
  <c r="K33" i="11"/>
  <c r="L33" i="11" s="1"/>
  <c r="G33" i="11"/>
  <c r="H33" i="11" s="1"/>
  <c r="K32" i="11"/>
  <c r="L32" i="11" s="1"/>
  <c r="G32" i="11"/>
  <c r="H32" i="11" s="1"/>
  <c r="K31" i="11"/>
  <c r="G31" i="11"/>
  <c r="H31" i="11" s="1"/>
  <c r="L30" i="11"/>
  <c r="H30" i="11"/>
  <c r="O30" i="11" s="1"/>
  <c r="K29" i="11"/>
  <c r="G29" i="11"/>
  <c r="H29" i="11" s="1"/>
  <c r="L28" i="11"/>
  <c r="H28" i="11"/>
  <c r="L27" i="11"/>
  <c r="H27" i="11"/>
  <c r="L26" i="11"/>
  <c r="H26" i="11"/>
  <c r="L25" i="11"/>
  <c r="H25" i="11"/>
  <c r="O25" i="11" s="1"/>
  <c r="L24" i="11"/>
  <c r="H24" i="11"/>
  <c r="O24" i="11" s="1"/>
  <c r="K23" i="11"/>
  <c r="G23" i="11"/>
  <c r="H23" i="11" s="1"/>
  <c r="G23" i="10"/>
  <c r="G59" i="10"/>
  <c r="G58" i="10"/>
  <c r="H58" i="10" s="1"/>
  <c r="H57" i="10"/>
  <c r="H56" i="10"/>
  <c r="H55" i="10"/>
  <c r="K54" i="10"/>
  <c r="J54" i="10"/>
  <c r="G54" i="10"/>
  <c r="H54" i="10" s="1"/>
  <c r="J53" i="10"/>
  <c r="L53" i="10" s="1"/>
  <c r="H53" i="10"/>
  <c r="K52" i="10"/>
  <c r="J51" i="10"/>
  <c r="G51" i="10"/>
  <c r="G52" i="10" s="1"/>
  <c r="H52" i="10" s="1"/>
  <c r="K48" i="10"/>
  <c r="K49" i="10" s="1"/>
  <c r="G48" i="10"/>
  <c r="G49" i="10" s="1"/>
  <c r="H49" i="10" s="1"/>
  <c r="L46" i="10"/>
  <c r="H46" i="10"/>
  <c r="H44" i="10"/>
  <c r="L43" i="10"/>
  <c r="H43" i="10"/>
  <c r="O43" i="10" s="1"/>
  <c r="L42" i="10"/>
  <c r="H42" i="10"/>
  <c r="O42" i="10" s="1"/>
  <c r="L41" i="10"/>
  <c r="H41" i="10"/>
  <c r="O41" i="10" s="1"/>
  <c r="H40" i="10"/>
  <c r="L38" i="10"/>
  <c r="H38" i="10"/>
  <c r="O38" i="10" s="1"/>
  <c r="L37" i="10"/>
  <c r="H37" i="10"/>
  <c r="O37" i="10" s="1"/>
  <c r="H36" i="10"/>
  <c r="O36" i="10" s="1"/>
  <c r="H35" i="10"/>
  <c r="O35" i="10" s="1"/>
  <c r="H34" i="10"/>
  <c r="O34" i="10" s="1"/>
  <c r="L33" i="10"/>
  <c r="H33" i="10"/>
  <c r="L32" i="10"/>
  <c r="G31" i="10"/>
  <c r="H31" i="10" s="1"/>
  <c r="L30" i="10"/>
  <c r="H30" i="10"/>
  <c r="O30" i="10" s="1"/>
  <c r="L28" i="10"/>
  <c r="H28" i="10"/>
  <c r="L27" i="10"/>
  <c r="H27" i="10"/>
  <c r="L26" i="10"/>
  <c r="H26" i="10"/>
  <c r="L25" i="10"/>
  <c r="H25" i="10"/>
  <c r="L24" i="10"/>
  <c r="H24" i="10"/>
  <c r="O24" i="10" s="1"/>
  <c r="H23" i="10"/>
  <c r="N53" i="11" l="1"/>
  <c r="L52" i="10"/>
  <c r="N52" i="10" s="1"/>
  <c r="O52" i="10" s="1"/>
  <c r="H59" i="11"/>
  <c r="J45" i="11"/>
  <c r="L45" i="11" s="1"/>
  <c r="H59" i="10"/>
  <c r="F45" i="10"/>
  <c r="N25" i="10"/>
  <c r="N27" i="10"/>
  <c r="N45" i="12"/>
  <c r="O45" i="12" s="1"/>
  <c r="N52" i="12"/>
  <c r="L52" i="11"/>
  <c r="N52" i="11" s="1"/>
  <c r="O52" i="11" s="1"/>
  <c r="L54" i="11"/>
  <c r="N54" i="11" s="1"/>
  <c r="O54" i="11" s="1"/>
  <c r="N26" i="10"/>
  <c r="N28" i="10"/>
  <c r="N26" i="11"/>
  <c r="N27" i="11"/>
  <c r="N28" i="11"/>
  <c r="O53" i="11"/>
  <c r="N24" i="11"/>
  <c r="N25" i="11"/>
  <c r="N30" i="11"/>
  <c r="N46" i="11"/>
  <c r="N53" i="10"/>
  <c r="O53" i="10" s="1"/>
  <c r="L54" i="10"/>
  <c r="N54" i="10" s="1"/>
  <c r="O54" i="10" s="1"/>
  <c r="N30" i="10"/>
  <c r="N46" i="10"/>
  <c r="L51" i="10"/>
  <c r="H47" i="12"/>
  <c r="N58" i="12"/>
  <c r="O58" i="12" s="1"/>
  <c r="N51" i="12"/>
  <c r="O51" i="12" s="1"/>
  <c r="O49" i="12"/>
  <c r="O52" i="12"/>
  <c r="N48" i="12"/>
  <c r="O48" i="12" s="1"/>
  <c r="L49" i="11"/>
  <c r="N49" i="11" s="1"/>
  <c r="O49" i="11" s="1"/>
  <c r="L51" i="11"/>
  <c r="N35" i="11"/>
  <c r="O35" i="11" s="1"/>
  <c r="N38" i="11"/>
  <c r="L48" i="11"/>
  <c r="H39" i="11"/>
  <c r="O26" i="11"/>
  <c r="O27" i="11"/>
  <c r="O28" i="11"/>
  <c r="N41" i="11"/>
  <c r="N42" i="11"/>
  <c r="N43" i="11"/>
  <c r="N32" i="11"/>
  <c r="O32" i="11" s="1"/>
  <c r="N33" i="11"/>
  <c r="O33" i="11" s="1"/>
  <c r="K55" i="11"/>
  <c r="L55" i="11" s="1"/>
  <c r="N55" i="11" s="1"/>
  <c r="O55" i="11" s="1"/>
  <c r="K56" i="11"/>
  <c r="L56" i="11" s="1"/>
  <c r="N56" i="11" s="1"/>
  <c r="O56" i="11" s="1"/>
  <c r="K57" i="11"/>
  <c r="L57" i="11" s="1"/>
  <c r="N57" i="11" s="1"/>
  <c r="O57" i="11" s="1"/>
  <c r="K58" i="11"/>
  <c r="L58" i="11" s="1"/>
  <c r="K59" i="11"/>
  <c r="L59" i="11" s="1"/>
  <c r="N59" i="11" s="1"/>
  <c r="O59" i="11" s="1"/>
  <c r="H48" i="11"/>
  <c r="H51" i="11"/>
  <c r="L49" i="10"/>
  <c r="N49" i="10" s="1"/>
  <c r="O49" i="10" s="1"/>
  <c r="N32" i="10"/>
  <c r="N37" i="10"/>
  <c r="N38" i="10"/>
  <c r="L48" i="10"/>
  <c r="N24" i="10"/>
  <c r="H39" i="10"/>
  <c r="O25" i="10"/>
  <c r="O26" i="10"/>
  <c r="O27" i="10"/>
  <c r="O28" i="10"/>
  <c r="O32" i="10"/>
  <c r="N41" i="10"/>
  <c r="N42" i="10"/>
  <c r="N43" i="10"/>
  <c r="N33" i="10"/>
  <c r="O33" i="10" s="1"/>
  <c r="K55" i="10"/>
  <c r="L55" i="10" s="1"/>
  <c r="N55" i="10" s="1"/>
  <c r="O55" i="10" s="1"/>
  <c r="K56" i="10"/>
  <c r="L56" i="10" s="1"/>
  <c r="N56" i="10" s="1"/>
  <c r="O56" i="10" s="1"/>
  <c r="K57" i="10"/>
  <c r="L57" i="10" s="1"/>
  <c r="N57" i="10" s="1"/>
  <c r="O57" i="10" s="1"/>
  <c r="K58" i="10"/>
  <c r="L58" i="10" s="1"/>
  <c r="K59" i="10"/>
  <c r="L59" i="10" s="1"/>
  <c r="N59" i="10" s="1"/>
  <c r="O59" i="10" s="1"/>
  <c r="H48" i="10"/>
  <c r="H51" i="10"/>
  <c r="N48" i="10" l="1"/>
  <c r="O48" i="10" s="1"/>
  <c r="H45" i="11"/>
  <c r="N45" i="11" s="1"/>
  <c r="O45" i="11" s="1"/>
  <c r="J45" i="10"/>
  <c r="L45" i="10" s="1"/>
  <c r="H45" i="10"/>
  <c r="H50" i="12"/>
  <c r="N58" i="11"/>
  <c r="O58" i="11" s="1"/>
  <c r="N48" i="11"/>
  <c r="O48" i="11" s="1"/>
  <c r="N51" i="11"/>
  <c r="O51" i="11" s="1"/>
  <c r="H47" i="11"/>
  <c r="N58" i="10"/>
  <c r="O58" i="10" s="1"/>
  <c r="N51" i="10"/>
  <c r="O51" i="10" s="1"/>
  <c r="H47" i="10"/>
  <c r="N45" i="10" l="1"/>
  <c r="O45" i="10" s="1"/>
  <c r="H67" i="12"/>
  <c r="H61" i="12"/>
  <c r="H50" i="11"/>
  <c r="H50" i="10"/>
  <c r="H68" i="12" l="1"/>
  <c r="H62" i="12"/>
  <c r="H67" i="11"/>
  <c r="H61" i="11"/>
  <c r="H67" i="10"/>
  <c r="H61" i="10"/>
  <c r="H63" i="12" l="1"/>
  <c r="H69" i="12"/>
  <c r="H68" i="11"/>
  <c r="H62" i="11"/>
  <c r="H68" i="10"/>
  <c r="H69" i="10" s="1"/>
  <c r="H62" i="10"/>
  <c r="H71" i="12" l="1"/>
  <c r="H63" i="11"/>
  <c r="H69" i="11"/>
  <c r="H71" i="10"/>
  <c r="H63" i="10"/>
  <c r="H65" i="12" l="1"/>
  <c r="H71" i="11"/>
  <c r="H65" i="11"/>
  <c r="H65" i="10"/>
  <c r="K48" i="8" l="1"/>
  <c r="K54" i="6"/>
  <c r="K54" i="8"/>
  <c r="H59" i="8" l="1"/>
  <c r="H58" i="8"/>
  <c r="H57" i="8"/>
  <c r="H56" i="8"/>
  <c r="H55" i="8"/>
  <c r="J54" i="8"/>
  <c r="L54" i="8" s="1"/>
  <c r="G54" i="8"/>
  <c r="H54" i="8" s="1"/>
  <c r="L53" i="8"/>
  <c r="J53" i="8"/>
  <c r="H53" i="8"/>
  <c r="K52" i="8"/>
  <c r="L52" i="8" s="1"/>
  <c r="J51" i="8"/>
  <c r="G51" i="8"/>
  <c r="G52" i="8" s="1"/>
  <c r="H52" i="8" s="1"/>
  <c r="K49" i="8"/>
  <c r="G49" i="8"/>
  <c r="H49" i="8" s="1"/>
  <c r="L46" i="8"/>
  <c r="H46" i="8"/>
  <c r="L45" i="8"/>
  <c r="H44" i="8"/>
  <c r="L43" i="8"/>
  <c r="H43" i="8"/>
  <c r="O43" i="8" s="1"/>
  <c r="L42" i="8"/>
  <c r="H42" i="8"/>
  <c r="O42" i="8" s="1"/>
  <c r="L41" i="8"/>
  <c r="H41" i="8"/>
  <c r="O41" i="8" s="1"/>
  <c r="H40" i="8"/>
  <c r="L38" i="8"/>
  <c r="H38" i="8"/>
  <c r="O38" i="8" s="1"/>
  <c r="H37" i="8"/>
  <c r="O37" i="8" s="1"/>
  <c r="H36" i="8"/>
  <c r="O36" i="8" s="1"/>
  <c r="H35" i="8"/>
  <c r="O35" i="8" s="1"/>
  <c r="H34" i="8"/>
  <c r="L33" i="8"/>
  <c r="H33" i="8"/>
  <c r="L32" i="8"/>
  <c r="H32" i="8"/>
  <c r="L30" i="8"/>
  <c r="H30" i="8"/>
  <c r="O30" i="8" s="1"/>
  <c r="H29" i="8"/>
  <c r="L28" i="8"/>
  <c r="H28" i="8"/>
  <c r="L27" i="8"/>
  <c r="H27" i="8"/>
  <c r="L26" i="8"/>
  <c r="H26" i="8"/>
  <c r="L25" i="8"/>
  <c r="H25" i="8"/>
  <c r="L24" i="8"/>
  <c r="H24" i="8"/>
  <c r="H23" i="8"/>
  <c r="G59" i="6"/>
  <c r="F45" i="6" s="1"/>
  <c r="J45" i="6" s="1"/>
  <c r="G54" i="6"/>
  <c r="K52" i="6"/>
  <c r="G51" i="6"/>
  <c r="G52" i="6" s="1"/>
  <c r="H51" i="6"/>
  <c r="G48" i="6"/>
  <c r="N30" i="8" l="1"/>
  <c r="N24" i="8"/>
  <c r="N25" i="8"/>
  <c r="N26" i="8"/>
  <c r="N27" i="8"/>
  <c r="N28" i="8"/>
  <c r="O53" i="8"/>
  <c r="N53" i="8"/>
  <c r="N46" i="8"/>
  <c r="L51" i="8"/>
  <c r="L49" i="8"/>
  <c r="N49" i="8" s="1"/>
  <c r="O49" i="8" s="1"/>
  <c r="H45" i="8"/>
  <c r="N45" i="8" s="1"/>
  <c r="O45" i="8" s="1"/>
  <c r="N54" i="8"/>
  <c r="O54" i="8" s="1"/>
  <c r="N41" i="8"/>
  <c r="N42" i="8"/>
  <c r="N43" i="8"/>
  <c r="N32" i="8"/>
  <c r="O32" i="8" s="1"/>
  <c r="N33" i="8"/>
  <c r="O33" i="8" s="1"/>
  <c r="L48" i="8"/>
  <c r="H39" i="8"/>
  <c r="N38" i="8"/>
  <c r="N52" i="8"/>
  <c r="O52" i="8" s="1"/>
  <c r="O24" i="8"/>
  <c r="O25" i="8"/>
  <c r="O26" i="8"/>
  <c r="O27" i="8"/>
  <c r="O28" i="8"/>
  <c r="N55" i="8"/>
  <c r="O55" i="8" s="1"/>
  <c r="L56" i="8"/>
  <c r="N56" i="8" s="1"/>
  <c r="O56" i="8" s="1"/>
  <c r="L57" i="8"/>
  <c r="N57" i="8" s="1"/>
  <c r="O57" i="8" s="1"/>
  <c r="L58" i="8"/>
  <c r="L59" i="8"/>
  <c r="N59" i="8" s="1"/>
  <c r="O59" i="8" s="1"/>
  <c r="H48" i="8"/>
  <c r="H51" i="8"/>
  <c r="G59" i="5"/>
  <c r="K59" i="5" s="1"/>
  <c r="G58" i="5"/>
  <c r="K58" i="5" s="1"/>
  <c r="H59" i="6"/>
  <c r="H58" i="6"/>
  <c r="H57" i="6"/>
  <c r="H56" i="6"/>
  <c r="H55" i="6"/>
  <c r="J54" i="6"/>
  <c r="L54" i="6" s="1"/>
  <c r="H54" i="6"/>
  <c r="J53" i="6"/>
  <c r="L53" i="6" s="1"/>
  <c r="N53" i="6" s="1"/>
  <c r="H53" i="6"/>
  <c r="J51" i="6"/>
  <c r="K48" i="6"/>
  <c r="K49" i="6" s="1"/>
  <c r="L51" i="6" s="1"/>
  <c r="G49" i="6"/>
  <c r="L46" i="6"/>
  <c r="H46" i="6"/>
  <c r="H44" i="6"/>
  <c r="L43" i="6"/>
  <c r="H43" i="6"/>
  <c r="O43" i="6" s="1"/>
  <c r="L42" i="6"/>
  <c r="H42" i="6"/>
  <c r="O42" i="6" s="1"/>
  <c r="L41" i="6"/>
  <c r="H41" i="6"/>
  <c r="O41" i="6" s="1"/>
  <c r="H40" i="6"/>
  <c r="L38" i="6"/>
  <c r="H38" i="6"/>
  <c r="O38" i="6" s="1"/>
  <c r="H37" i="6"/>
  <c r="O37" i="6" s="1"/>
  <c r="H36" i="6"/>
  <c r="O36" i="6" s="1"/>
  <c r="H35" i="6"/>
  <c r="O35" i="6" s="1"/>
  <c r="H34" i="6"/>
  <c r="O34" i="6" s="1"/>
  <c r="L33" i="6"/>
  <c r="H33" i="6"/>
  <c r="L32" i="6"/>
  <c r="H32" i="6"/>
  <c r="H31" i="6"/>
  <c r="L30" i="6"/>
  <c r="H30" i="6"/>
  <c r="H29" i="6"/>
  <c r="L28" i="6"/>
  <c r="H28" i="6"/>
  <c r="O28" i="6" s="1"/>
  <c r="L27" i="6"/>
  <c r="H27" i="6"/>
  <c r="L26" i="6"/>
  <c r="H26" i="6"/>
  <c r="O26" i="6" s="1"/>
  <c r="L25" i="6"/>
  <c r="H25" i="6"/>
  <c r="O25" i="6" s="1"/>
  <c r="L24" i="6"/>
  <c r="H24" i="6"/>
  <c r="H23" i="6"/>
  <c r="H57" i="5"/>
  <c r="H55" i="5"/>
  <c r="J54" i="5"/>
  <c r="J53" i="5"/>
  <c r="J51" i="5"/>
  <c r="H58" i="5"/>
  <c r="H56" i="5"/>
  <c r="K54" i="5"/>
  <c r="L54" i="5" s="1"/>
  <c r="G54" i="5"/>
  <c r="H54" i="5" s="1"/>
  <c r="L53" i="5"/>
  <c r="H53" i="5"/>
  <c r="K48" i="5"/>
  <c r="L48" i="5" s="1"/>
  <c r="G48" i="5"/>
  <c r="H48" i="5" s="1"/>
  <c r="L46" i="5"/>
  <c r="H46" i="5"/>
  <c r="H44" i="5"/>
  <c r="L43" i="5"/>
  <c r="H43" i="5"/>
  <c r="O43" i="5" s="1"/>
  <c r="L42" i="5"/>
  <c r="H42" i="5"/>
  <c r="O42" i="5" s="1"/>
  <c r="L41" i="5"/>
  <c r="H41" i="5"/>
  <c r="O41" i="5" s="1"/>
  <c r="H40" i="5"/>
  <c r="L38" i="5"/>
  <c r="H38" i="5"/>
  <c r="O38" i="5" s="1"/>
  <c r="H37" i="5"/>
  <c r="O37" i="5" s="1"/>
  <c r="H36" i="5"/>
  <c r="O36" i="5" s="1"/>
  <c r="H35" i="5"/>
  <c r="O35" i="5" s="1"/>
  <c r="H34" i="5"/>
  <c r="O34" i="5" s="1"/>
  <c r="L33" i="5"/>
  <c r="H33" i="5"/>
  <c r="L32" i="5"/>
  <c r="H32" i="5"/>
  <c r="H31" i="5"/>
  <c r="L30" i="5"/>
  <c r="N30" i="5" s="1"/>
  <c r="H30" i="5"/>
  <c r="H29" i="5"/>
  <c r="L28" i="5"/>
  <c r="H28" i="5"/>
  <c r="O28" i="5" s="1"/>
  <c r="L27" i="5"/>
  <c r="H27" i="5"/>
  <c r="O27" i="5" s="1"/>
  <c r="L26" i="5"/>
  <c r="H26" i="5"/>
  <c r="O26" i="5" s="1"/>
  <c r="L25" i="5"/>
  <c r="H25" i="5"/>
  <c r="O25" i="5" s="1"/>
  <c r="L24" i="5"/>
  <c r="H24" i="5"/>
  <c r="H23" i="5"/>
  <c r="G59" i="2"/>
  <c r="K59" i="2" s="1"/>
  <c r="L59" i="2" s="1"/>
  <c r="G58" i="2"/>
  <c r="K58" i="2" s="1"/>
  <c r="L58" i="2" s="1"/>
  <c r="G57" i="2"/>
  <c r="K57" i="2" s="1"/>
  <c r="L57" i="2" s="1"/>
  <c r="G56" i="2"/>
  <c r="K56" i="2" s="1"/>
  <c r="L56" i="2" s="1"/>
  <c r="G55" i="2"/>
  <c r="K55" i="2" s="1"/>
  <c r="L55" i="2" s="1"/>
  <c r="K54" i="2"/>
  <c r="L54" i="2" s="1"/>
  <c r="G54" i="2"/>
  <c r="H54" i="2" s="1"/>
  <c r="L53" i="2"/>
  <c r="H53" i="2"/>
  <c r="K49" i="2"/>
  <c r="K51" i="2" s="1"/>
  <c r="G49" i="2"/>
  <c r="L46" i="2"/>
  <c r="H46" i="2"/>
  <c r="K45" i="2"/>
  <c r="G45" i="2"/>
  <c r="K44" i="2"/>
  <c r="G44" i="2"/>
  <c r="H44" i="2" s="1"/>
  <c r="K43" i="2"/>
  <c r="L43" i="2" s="1"/>
  <c r="G43" i="2"/>
  <c r="H43" i="2" s="1"/>
  <c r="O43" i="2" s="1"/>
  <c r="K42" i="2"/>
  <c r="L42" i="2" s="1"/>
  <c r="G42" i="2"/>
  <c r="H42" i="2" s="1"/>
  <c r="O42" i="2" s="1"/>
  <c r="K41" i="2"/>
  <c r="L41" i="2" s="1"/>
  <c r="G41" i="2"/>
  <c r="H41" i="2" s="1"/>
  <c r="O41" i="2" s="1"/>
  <c r="K40" i="2"/>
  <c r="G40" i="2"/>
  <c r="H40" i="2" s="1"/>
  <c r="K38" i="2"/>
  <c r="L38" i="2" s="1"/>
  <c r="G38" i="2"/>
  <c r="H38" i="2" s="1"/>
  <c r="O38" i="2" s="1"/>
  <c r="K37" i="2"/>
  <c r="G37" i="2"/>
  <c r="H37" i="2" s="1"/>
  <c r="O37" i="2" s="1"/>
  <c r="K36" i="2"/>
  <c r="G36" i="2"/>
  <c r="H36" i="2" s="1"/>
  <c r="O36" i="2" s="1"/>
  <c r="K35" i="2"/>
  <c r="G35" i="2"/>
  <c r="H35" i="2" s="1"/>
  <c r="O35" i="2" s="1"/>
  <c r="H34" i="2"/>
  <c r="O34" i="2" s="1"/>
  <c r="K33" i="2"/>
  <c r="L33" i="2" s="1"/>
  <c r="G33" i="2"/>
  <c r="H33" i="2" s="1"/>
  <c r="K32" i="2"/>
  <c r="L32" i="2" s="1"/>
  <c r="G32" i="2"/>
  <c r="H32" i="2" s="1"/>
  <c r="K31" i="2"/>
  <c r="G31" i="2"/>
  <c r="H31" i="2" s="1"/>
  <c r="K30" i="2"/>
  <c r="L30" i="2" s="1"/>
  <c r="H30" i="2"/>
  <c r="K29" i="2"/>
  <c r="G29" i="2"/>
  <c r="H29" i="2" s="1"/>
  <c r="L28" i="2"/>
  <c r="H28" i="2"/>
  <c r="L27" i="2"/>
  <c r="H27" i="2"/>
  <c r="L26" i="2"/>
  <c r="H26" i="2"/>
  <c r="L25" i="2"/>
  <c r="H25" i="2"/>
  <c r="L24" i="2"/>
  <c r="H24" i="2"/>
  <c r="H23" i="2"/>
  <c r="N48" i="8" l="1"/>
  <c r="O48" i="8" s="1"/>
  <c r="H59" i="5"/>
  <c r="N26" i="6"/>
  <c r="N46" i="5"/>
  <c r="O53" i="6"/>
  <c r="N25" i="6"/>
  <c r="N38" i="6"/>
  <c r="N41" i="6"/>
  <c r="N38" i="5"/>
  <c r="N58" i="8"/>
  <c r="O58" i="8" s="1"/>
  <c r="N51" i="8"/>
  <c r="O51" i="8" s="1"/>
  <c r="H47" i="8"/>
  <c r="N46" i="6"/>
  <c r="N30" i="6"/>
  <c r="N24" i="6"/>
  <c r="O24" i="6" s="1"/>
  <c r="L48" i="6"/>
  <c r="H39" i="6"/>
  <c r="N54" i="6"/>
  <c r="O54" i="6" s="1"/>
  <c r="L45" i="6"/>
  <c r="H45" i="6"/>
  <c r="O27" i="6"/>
  <c r="N27" i="6"/>
  <c r="O30" i="6"/>
  <c r="N32" i="6"/>
  <c r="O32" i="6" s="1"/>
  <c r="N33" i="6"/>
  <c r="O33" i="6" s="1"/>
  <c r="N42" i="6"/>
  <c r="N43" i="6"/>
  <c r="H52" i="6"/>
  <c r="H49" i="6"/>
  <c r="N51" i="6"/>
  <c r="N28" i="6"/>
  <c r="L52" i="6"/>
  <c r="K55" i="6"/>
  <c r="L55" i="6" s="1"/>
  <c r="N55" i="6" s="1"/>
  <c r="O55" i="6" s="1"/>
  <c r="K56" i="6"/>
  <c r="L56" i="6" s="1"/>
  <c r="N56" i="6" s="1"/>
  <c r="O56" i="6" s="1"/>
  <c r="K57" i="6"/>
  <c r="L57" i="6" s="1"/>
  <c r="N57" i="6" s="1"/>
  <c r="O57" i="6" s="1"/>
  <c r="K58" i="6"/>
  <c r="L58" i="6" s="1"/>
  <c r="K59" i="6"/>
  <c r="L59" i="6" s="1"/>
  <c r="N59" i="6" s="1"/>
  <c r="O59" i="6" s="1"/>
  <c r="H48" i="6"/>
  <c r="L49" i="6"/>
  <c r="N24" i="5"/>
  <c r="O24" i="5" s="1"/>
  <c r="H45" i="5"/>
  <c r="O31" i="5"/>
  <c r="N33" i="5"/>
  <c r="O33" i="5" s="1"/>
  <c r="L45" i="5"/>
  <c r="N25" i="5"/>
  <c r="N26" i="5"/>
  <c r="N27" i="5"/>
  <c r="N28" i="5"/>
  <c r="N48" i="5"/>
  <c r="O48" i="5" s="1"/>
  <c r="N54" i="5"/>
  <c r="H39" i="5"/>
  <c r="O30" i="5"/>
  <c r="N32" i="5"/>
  <c r="O32" i="5" s="1"/>
  <c r="N41" i="5"/>
  <c r="N42" i="5"/>
  <c r="N43" i="5"/>
  <c r="O54" i="5"/>
  <c r="G49" i="5"/>
  <c r="K49" i="5"/>
  <c r="N53" i="5"/>
  <c r="O53" i="5" s="1"/>
  <c r="K55" i="5"/>
  <c r="L55" i="5" s="1"/>
  <c r="N55" i="5" s="1"/>
  <c r="O55" i="5" s="1"/>
  <c r="K56" i="5"/>
  <c r="L56" i="5" s="1"/>
  <c r="N56" i="5" s="1"/>
  <c r="O56" i="5" s="1"/>
  <c r="K57" i="5"/>
  <c r="L57" i="5" s="1"/>
  <c r="N57" i="5" s="1"/>
  <c r="O57" i="5" s="1"/>
  <c r="L58" i="5"/>
  <c r="L59" i="5"/>
  <c r="H45" i="2"/>
  <c r="N46" i="2"/>
  <c r="N54" i="2"/>
  <c r="O54" i="2" s="1"/>
  <c r="N38" i="2"/>
  <c r="N32" i="2"/>
  <c r="O32" i="2" s="1"/>
  <c r="N33" i="2"/>
  <c r="O33" i="2" s="1"/>
  <c r="N24" i="2"/>
  <c r="N25" i="2"/>
  <c r="N26" i="2"/>
  <c r="N27" i="2"/>
  <c r="N28" i="2"/>
  <c r="N30" i="2"/>
  <c r="O30" i="2" s="1"/>
  <c r="L45" i="2"/>
  <c r="N45" i="2" s="1"/>
  <c r="O45" i="2" s="1"/>
  <c r="N53" i="2"/>
  <c r="H39" i="2"/>
  <c r="N41" i="2"/>
  <c r="N42" i="2"/>
  <c r="N43" i="2"/>
  <c r="G52" i="2"/>
  <c r="H52" i="2" s="1"/>
  <c r="G51" i="2"/>
  <c r="H51" i="2" s="1"/>
  <c r="H49" i="2"/>
  <c r="K52" i="2"/>
  <c r="L52" i="2" s="1"/>
  <c r="L51" i="2"/>
  <c r="L49" i="2"/>
  <c r="O24" i="2"/>
  <c r="O25" i="2"/>
  <c r="O26" i="2"/>
  <c r="O27" i="2"/>
  <c r="O28" i="2"/>
  <c r="H48" i="2"/>
  <c r="L48" i="2"/>
  <c r="O53" i="2"/>
  <c r="H55" i="2"/>
  <c r="H56" i="2"/>
  <c r="H57" i="2"/>
  <c r="N57" i="2" s="1"/>
  <c r="H58" i="2"/>
  <c r="H59" i="2"/>
  <c r="N59" i="5" l="1"/>
  <c r="O59" i="5" s="1"/>
  <c r="N52" i="2"/>
  <c r="N45" i="6"/>
  <c r="O45" i="6" s="1"/>
  <c r="H47" i="6"/>
  <c r="H50" i="6" s="1"/>
  <c r="N49" i="6"/>
  <c r="O49" i="6" s="1"/>
  <c r="N49" i="2"/>
  <c r="O49" i="2" s="1"/>
  <c r="N48" i="2"/>
  <c r="H50" i="8"/>
  <c r="N52" i="6"/>
  <c r="O52" i="6" s="1"/>
  <c r="N58" i="6"/>
  <c r="O58" i="6" s="1"/>
  <c r="O51" i="6"/>
  <c r="N48" i="6"/>
  <c r="O48" i="6" s="1"/>
  <c r="N45" i="5"/>
  <c r="O45" i="5" s="1"/>
  <c r="L49" i="5"/>
  <c r="K52" i="5"/>
  <c r="L52" i="5" s="1"/>
  <c r="K51" i="5"/>
  <c r="L51" i="5" s="1"/>
  <c r="N58" i="5"/>
  <c r="O58" i="5" s="1"/>
  <c r="H49" i="5"/>
  <c r="G52" i="5"/>
  <c r="H52" i="5" s="1"/>
  <c r="G51" i="5"/>
  <c r="H51" i="5" s="1"/>
  <c r="H47" i="5"/>
  <c r="N56" i="2"/>
  <c r="O56" i="2" s="1"/>
  <c r="N51" i="2"/>
  <c r="O51" i="2" s="1"/>
  <c r="O57" i="2"/>
  <c r="N58" i="2"/>
  <c r="O58" i="2" s="1"/>
  <c r="N59" i="2"/>
  <c r="O59" i="2" s="1"/>
  <c r="N55" i="2"/>
  <c r="O55" i="2" s="1"/>
  <c r="O52" i="2"/>
  <c r="H47" i="2"/>
  <c r="O48" i="2" l="1"/>
  <c r="H67" i="6"/>
  <c r="H61" i="6"/>
  <c r="H67" i="8"/>
  <c r="H61" i="8"/>
  <c r="N52" i="5"/>
  <c r="O52" i="5" s="1"/>
  <c r="H50" i="5"/>
  <c r="N51" i="5"/>
  <c r="O51" i="5" s="1"/>
  <c r="N49" i="5"/>
  <c r="O49" i="5" s="1"/>
  <c r="H50" i="2"/>
  <c r="H61" i="2" s="1"/>
  <c r="H67" i="2" l="1"/>
  <c r="H68" i="8"/>
  <c r="H62" i="8"/>
  <c r="H62" i="6"/>
  <c r="H63" i="6" s="1"/>
  <c r="H68" i="6"/>
  <c r="H69" i="6" s="1"/>
  <c r="H67" i="5"/>
  <c r="H61" i="5"/>
  <c r="H63" i="8" l="1"/>
  <c r="H69" i="8"/>
  <c r="H71" i="6"/>
  <c r="H65" i="6"/>
  <c r="H62" i="5"/>
  <c r="H63" i="5" s="1"/>
  <c r="H68" i="5"/>
  <c r="H69" i="5" s="1"/>
  <c r="H62" i="2"/>
  <c r="H63" i="2" s="1"/>
  <c r="H68" i="2"/>
  <c r="H69" i="2" s="1"/>
  <c r="H71" i="8" l="1"/>
  <c r="H64" i="5"/>
  <c r="H65" i="5" s="1"/>
  <c r="H70" i="5"/>
  <c r="H71" i="5" s="1"/>
  <c r="H70" i="2"/>
  <c r="H71" i="2" s="1"/>
  <c r="H64" i="2"/>
  <c r="H65" i="8" l="1"/>
  <c r="H65" i="2"/>
  <c r="L34" i="6" l="1"/>
  <c r="N34" i="6" l="1"/>
  <c r="N70" i="11" l="1"/>
  <c r="O70" i="11" s="1"/>
  <c r="N70" i="8"/>
  <c r="O70" i="8" s="1"/>
  <c r="N64" i="10"/>
  <c r="O64" i="10" s="1"/>
  <c r="N64" i="8"/>
  <c r="O64" i="8" s="1"/>
  <c r="N70" i="12"/>
  <c r="O70" i="12" s="1"/>
  <c r="N64" i="6" l="1"/>
  <c r="O64" i="6" s="1"/>
  <c r="N64" i="11"/>
  <c r="O64" i="11" s="1"/>
  <c r="N70" i="6"/>
  <c r="O70" i="6" s="1"/>
  <c r="N70" i="10"/>
  <c r="O70" i="10" s="1"/>
  <c r="O31" i="10" l="1"/>
  <c r="L34" i="8" l="1"/>
  <c r="L187" i="8"/>
  <c r="L111" i="8"/>
  <c r="N111" i="8" l="1"/>
  <c r="O111" i="8" s="1"/>
  <c r="N187" i="8"/>
  <c r="O187" i="8" s="1"/>
  <c r="N34" i="8"/>
  <c r="O34" i="8" s="1"/>
  <c r="L23" i="6" l="1"/>
  <c r="L173" i="13"/>
  <c r="L248" i="6"/>
  <c r="L248" i="13"/>
  <c r="L173" i="6"/>
  <c r="L98" i="6"/>
  <c r="L23" i="13"/>
  <c r="L98" i="13"/>
  <c r="L100" i="8" l="1"/>
  <c r="L23" i="8"/>
  <c r="L176" i="8"/>
  <c r="N23" i="13"/>
  <c r="O23" i="13" s="1"/>
  <c r="N248" i="6"/>
  <c r="O248" i="6" s="1"/>
  <c r="N248" i="13"/>
  <c r="O248" i="13" s="1"/>
  <c r="N98" i="6"/>
  <c r="O98" i="6" s="1"/>
  <c r="N173" i="13"/>
  <c r="O173" i="13" s="1"/>
  <c r="N98" i="13"/>
  <c r="O98" i="13" s="1"/>
  <c r="N173" i="6"/>
  <c r="O173" i="6" s="1"/>
  <c r="N23" i="6"/>
  <c r="O23" i="6" s="1"/>
  <c r="N176" i="8" l="1"/>
  <c r="O176" i="8" s="1"/>
  <c r="N23" i="8"/>
  <c r="O23" i="8" s="1"/>
  <c r="N100" i="8"/>
  <c r="O100" i="8" s="1"/>
  <c r="L468" i="2" l="1"/>
  <c r="L172" i="2"/>
  <c r="L246" i="2"/>
  <c r="L23" i="2"/>
  <c r="L320" i="2"/>
  <c r="L98" i="2"/>
  <c r="L394" i="2"/>
  <c r="N320" i="2" l="1"/>
  <c r="O320" i="2" s="1"/>
  <c r="N468" i="2"/>
  <c r="O468" i="2" s="1"/>
  <c r="N23" i="2"/>
  <c r="O23" i="2" s="1"/>
  <c r="N394" i="2"/>
  <c r="O394" i="2" s="1"/>
  <c r="N246" i="2"/>
  <c r="O246" i="2" s="1"/>
  <c r="N98" i="2"/>
  <c r="O98" i="2" s="1"/>
  <c r="N172" i="2"/>
  <c r="O172" i="2" s="1"/>
  <c r="L29" i="8" l="1"/>
  <c r="L106" i="8"/>
  <c r="L182" i="8"/>
  <c r="L254" i="13"/>
  <c r="L29" i="13"/>
  <c r="L179" i="13"/>
  <c r="L104" i="13"/>
  <c r="L254" i="6"/>
  <c r="L104" i="6"/>
  <c r="L179" i="6"/>
  <c r="L29" i="6"/>
  <c r="L253" i="5" l="1"/>
  <c r="N253" i="5" s="1"/>
  <c r="O253" i="5" s="1"/>
  <c r="L103" i="5"/>
  <c r="N103" i="5" s="1"/>
  <c r="O103" i="5" s="1"/>
  <c r="L328" i="5"/>
  <c r="N328" i="5" s="1"/>
  <c r="O328" i="5" s="1"/>
  <c r="L29" i="5"/>
  <c r="N29" i="5" s="1"/>
  <c r="O29" i="5" s="1"/>
  <c r="L177" i="5"/>
  <c r="N177" i="5" s="1"/>
  <c r="O177" i="5" s="1"/>
  <c r="L104" i="12"/>
  <c r="N104" i="12" s="1"/>
  <c r="O104" i="12" s="1"/>
  <c r="L29" i="12"/>
  <c r="N29" i="12" s="1"/>
  <c r="O29" i="12" s="1"/>
  <c r="L29" i="11"/>
  <c r="N29" i="11" s="1"/>
  <c r="O29" i="11" s="1"/>
  <c r="L23" i="10"/>
  <c r="L98" i="10"/>
  <c r="N29" i="6"/>
  <c r="O29" i="6" s="1"/>
  <c r="N104" i="6"/>
  <c r="O104" i="6" s="1"/>
  <c r="N104" i="13"/>
  <c r="O104" i="13" s="1"/>
  <c r="N29" i="13"/>
  <c r="O29" i="13" s="1"/>
  <c r="N106" i="8"/>
  <c r="O106" i="8" s="1"/>
  <c r="L247" i="5"/>
  <c r="L171" i="5"/>
  <c r="L23" i="5"/>
  <c r="L97" i="5"/>
  <c r="L322" i="5"/>
  <c r="L23" i="12"/>
  <c r="L98" i="12"/>
  <c r="L23" i="11"/>
  <c r="L29" i="10"/>
  <c r="N29" i="10" s="1"/>
  <c r="O29" i="10" s="1"/>
  <c r="L104" i="10"/>
  <c r="N104" i="10" s="1"/>
  <c r="O104" i="10" s="1"/>
  <c r="N179" i="6"/>
  <c r="O179" i="6" s="1"/>
  <c r="N254" i="6"/>
  <c r="O254" i="6" s="1"/>
  <c r="N179" i="13"/>
  <c r="O179" i="13" s="1"/>
  <c r="N254" i="13"/>
  <c r="O254" i="13" s="1"/>
  <c r="N182" i="8"/>
  <c r="O182" i="8" s="1"/>
  <c r="N29" i="8"/>
  <c r="O29" i="8" s="1"/>
  <c r="L23" i="14" l="1"/>
  <c r="N23" i="12"/>
  <c r="O23" i="12" s="1"/>
  <c r="N322" i="5"/>
  <c r="O322" i="5" s="1"/>
  <c r="N23" i="5"/>
  <c r="O23" i="5" s="1"/>
  <c r="N247" i="5"/>
  <c r="O247" i="5" s="1"/>
  <c r="N98" i="10"/>
  <c r="O98" i="10" s="1"/>
  <c r="L29" i="14"/>
  <c r="N29" i="14" s="1"/>
  <c r="O29" i="14" s="1"/>
  <c r="N23" i="11"/>
  <c r="O23" i="11" s="1"/>
  <c r="N98" i="12"/>
  <c r="O98" i="12" s="1"/>
  <c r="N97" i="5"/>
  <c r="O97" i="5" s="1"/>
  <c r="N171" i="5"/>
  <c r="O171" i="5" s="1"/>
  <c r="N23" i="10"/>
  <c r="O23" i="10" s="1"/>
  <c r="N23" i="14" l="1"/>
  <c r="O23" i="14" s="1"/>
  <c r="L400" i="2"/>
  <c r="L104" i="2"/>
  <c r="L29" i="2"/>
  <c r="L252" i="2"/>
  <c r="L178" i="2"/>
  <c r="L326" i="2"/>
  <c r="L474" i="2"/>
  <c r="N474" i="2" l="1"/>
  <c r="O474" i="2" s="1"/>
  <c r="N178" i="2"/>
  <c r="O178" i="2" s="1"/>
  <c r="N29" i="2"/>
  <c r="O29" i="2" s="1"/>
  <c r="N400" i="2"/>
  <c r="O400" i="2" s="1"/>
  <c r="N326" i="2"/>
  <c r="O326" i="2" s="1"/>
  <c r="N252" i="2"/>
  <c r="O252" i="2" s="1"/>
  <c r="N104" i="2"/>
  <c r="O104" i="2" s="1"/>
  <c r="L109" i="5" l="1"/>
  <c r="N109" i="5" s="1"/>
  <c r="L35" i="5"/>
  <c r="N35" i="5" s="1"/>
  <c r="L334" i="5"/>
  <c r="N334" i="5" s="1"/>
  <c r="L183" i="5"/>
  <c r="N183" i="5" s="1"/>
  <c r="L259" i="5"/>
  <c r="N259" i="5" s="1"/>
  <c r="L37" i="11" l="1"/>
  <c r="N37" i="11" s="1"/>
  <c r="L36" i="10" l="1"/>
  <c r="N36" i="10" s="1"/>
  <c r="L111" i="10"/>
  <c r="N111" i="10" s="1"/>
  <c r="L336" i="5"/>
  <c r="N336" i="5" s="1"/>
  <c r="L185" i="5"/>
  <c r="N185" i="5" s="1"/>
  <c r="L261" i="5"/>
  <c r="N261" i="5" s="1"/>
  <c r="L111" i="5"/>
  <c r="N111" i="5" s="1"/>
  <c r="L37" i="5"/>
  <c r="N37" i="5" s="1"/>
  <c r="L37" i="8"/>
  <c r="N37" i="8" s="1"/>
  <c r="L190" i="8"/>
  <c r="N190" i="8" s="1"/>
  <c r="L114" i="8"/>
  <c r="N114" i="8" s="1"/>
  <c r="L187" i="6"/>
  <c r="N187" i="6" s="1"/>
  <c r="L187" i="13"/>
  <c r="N187" i="13" s="1"/>
  <c r="L262" i="6"/>
  <c r="N262" i="6" s="1"/>
  <c r="L262" i="13"/>
  <c r="N262" i="13" s="1"/>
  <c r="L37" i="6"/>
  <c r="N37" i="6" s="1"/>
  <c r="L37" i="13"/>
  <c r="N37" i="13" s="1"/>
  <c r="L112" i="6"/>
  <c r="N112" i="6" s="1"/>
  <c r="L112" i="13"/>
  <c r="N112" i="13" s="1"/>
  <c r="L112" i="12"/>
  <c r="N112" i="12" s="1"/>
  <c r="L37" i="12"/>
  <c r="N37" i="12" s="1"/>
  <c r="L186" i="2" l="1"/>
  <c r="N186" i="2" s="1"/>
  <c r="L408" i="2"/>
  <c r="N408" i="2" s="1"/>
  <c r="L260" i="2"/>
  <c r="N260" i="2" s="1"/>
  <c r="L112" i="2"/>
  <c r="N112" i="2" s="1"/>
  <c r="L334" i="2"/>
  <c r="N334" i="2" s="1"/>
  <c r="L482" i="2"/>
  <c r="N482" i="2" s="1"/>
  <c r="L37" i="2"/>
  <c r="N37" i="2" s="1"/>
  <c r="L255" i="5" l="1"/>
  <c r="N255" i="5" s="1"/>
  <c r="L31" i="5"/>
  <c r="N31" i="5" s="1"/>
  <c r="L330" i="5"/>
  <c r="N330" i="5" s="1"/>
  <c r="L179" i="5"/>
  <c r="N179" i="5" s="1"/>
  <c r="L105" i="5"/>
  <c r="N105" i="5" s="1"/>
  <c r="L31" i="14"/>
  <c r="L106" i="12" l="1"/>
  <c r="N106" i="12" s="1"/>
  <c r="O106" i="12" s="1"/>
  <c r="L31" i="12"/>
  <c r="N31" i="12" s="1"/>
  <c r="O31" i="12" s="1"/>
  <c r="L31" i="8"/>
  <c r="N31" i="8" s="1"/>
  <c r="O31" i="8" s="1"/>
  <c r="L108" i="8"/>
  <c r="N108" i="8" s="1"/>
  <c r="O108" i="8" s="1"/>
  <c r="L184" i="8"/>
  <c r="N184" i="8" s="1"/>
  <c r="O184" i="8" s="1"/>
  <c r="L254" i="2"/>
  <c r="N254" i="2" s="1"/>
  <c r="O254" i="2" s="1"/>
  <c r="L476" i="2"/>
  <c r="N476" i="2" s="1"/>
  <c r="O476" i="2" s="1"/>
  <c r="L180" i="2"/>
  <c r="N180" i="2" s="1"/>
  <c r="O180" i="2" s="1"/>
  <c r="L402" i="2"/>
  <c r="N402" i="2" s="1"/>
  <c r="O402" i="2" s="1"/>
  <c r="L106" i="2"/>
  <c r="N106" i="2" s="1"/>
  <c r="O106" i="2" s="1"/>
  <c r="L328" i="2"/>
  <c r="N328" i="2" s="1"/>
  <c r="O328" i="2" s="1"/>
  <c r="L31" i="2"/>
  <c r="N31" i="2" s="1"/>
  <c r="O31" i="2" s="1"/>
  <c r="N31" i="14"/>
  <c r="O31" i="14" s="1"/>
  <c r="L39" i="14"/>
  <c r="N39" i="14" s="1"/>
  <c r="O39" i="14" s="1"/>
  <c r="L31" i="11"/>
  <c r="N31" i="11" s="1"/>
  <c r="O31" i="11" s="1"/>
  <c r="L106" i="10" l="1"/>
  <c r="N106" i="10" s="1"/>
  <c r="L31" i="10"/>
  <c r="N31" i="10" s="1"/>
  <c r="L106" i="13"/>
  <c r="N106" i="13" s="1"/>
  <c r="O106" i="13" s="1"/>
  <c r="L256" i="13"/>
  <c r="N256" i="13" s="1"/>
  <c r="O256" i="13" s="1"/>
  <c r="L181" i="6"/>
  <c r="N181" i="6" s="1"/>
  <c r="O181" i="6" s="1"/>
  <c r="L31" i="6"/>
  <c r="N31" i="6" s="1"/>
  <c r="O31" i="6" s="1"/>
  <c r="L31" i="13"/>
  <c r="N31" i="13" s="1"/>
  <c r="O31" i="13" s="1"/>
  <c r="L181" i="13"/>
  <c r="N181" i="13" s="1"/>
  <c r="O181" i="13" s="1"/>
  <c r="L106" i="6"/>
  <c r="N106" i="6" s="1"/>
  <c r="O106" i="6" s="1"/>
  <c r="L256" i="6"/>
  <c r="N256" i="6" s="1"/>
  <c r="O256" i="6" s="1"/>
  <c r="L44" i="14"/>
  <c r="N44" i="14" l="1"/>
  <c r="O44" i="14" s="1"/>
  <c r="L47" i="14"/>
  <c r="L119" i="10"/>
  <c r="N119" i="10" s="1"/>
  <c r="O119" i="10" s="1"/>
  <c r="L44" i="10"/>
  <c r="N44" i="10" s="1"/>
  <c r="O44" i="10" s="1"/>
  <c r="L197" i="8"/>
  <c r="N197" i="8" s="1"/>
  <c r="O197" i="8" s="1"/>
  <c r="L44" i="8"/>
  <c r="N44" i="8" s="1"/>
  <c r="O44" i="8" s="1"/>
  <c r="L121" i="8"/>
  <c r="N121" i="8" s="1"/>
  <c r="O121" i="8" s="1"/>
  <c r="L489" i="2"/>
  <c r="N489" i="2" s="1"/>
  <c r="O489" i="2" s="1"/>
  <c r="L341" i="2"/>
  <c r="N341" i="2" s="1"/>
  <c r="O341" i="2" s="1"/>
  <c r="L193" i="2"/>
  <c r="N193" i="2" s="1"/>
  <c r="O193" i="2" s="1"/>
  <c r="L44" i="2"/>
  <c r="N44" i="2" s="1"/>
  <c r="O44" i="2" s="1"/>
  <c r="L415" i="2"/>
  <c r="N415" i="2" s="1"/>
  <c r="O415" i="2" s="1"/>
  <c r="L267" i="2"/>
  <c r="N267" i="2" s="1"/>
  <c r="O267" i="2" s="1"/>
  <c r="L119" i="2"/>
  <c r="N119" i="2" s="1"/>
  <c r="O119" i="2" s="1"/>
  <c r="L118" i="5"/>
  <c r="N118" i="5" s="1"/>
  <c r="O118" i="5" s="1"/>
  <c r="L268" i="5"/>
  <c r="N268" i="5" s="1"/>
  <c r="O268" i="5" s="1"/>
  <c r="L343" i="5"/>
  <c r="N343" i="5" s="1"/>
  <c r="O343" i="5" s="1"/>
  <c r="L44" i="5"/>
  <c r="N44" i="5" s="1"/>
  <c r="O44" i="5" s="1"/>
  <c r="L192" i="5"/>
  <c r="N192" i="5" s="1"/>
  <c r="O192" i="5" s="1"/>
  <c r="L44" i="11"/>
  <c r="N44" i="11" s="1"/>
  <c r="O44" i="11" s="1"/>
  <c r="L119" i="12" l="1"/>
  <c r="N119" i="12" s="1"/>
  <c r="O119" i="12" s="1"/>
  <c r="L44" i="12"/>
  <c r="N44" i="12" s="1"/>
  <c r="O44" i="12" s="1"/>
  <c r="L194" i="13"/>
  <c r="N194" i="13" s="1"/>
  <c r="O194" i="13" s="1"/>
  <c r="L44" i="13"/>
  <c r="N44" i="13" s="1"/>
  <c r="O44" i="13" s="1"/>
  <c r="L194" i="6"/>
  <c r="N194" i="6" s="1"/>
  <c r="O194" i="6" s="1"/>
  <c r="L44" i="6"/>
  <c r="N44" i="6" s="1"/>
  <c r="O44" i="6" s="1"/>
  <c r="L269" i="13"/>
  <c r="N269" i="13" s="1"/>
  <c r="O269" i="13" s="1"/>
  <c r="L119" i="13"/>
  <c r="N119" i="13" s="1"/>
  <c r="O119" i="13" s="1"/>
  <c r="L269" i="6"/>
  <c r="N269" i="6" s="1"/>
  <c r="O269" i="6" s="1"/>
  <c r="L119" i="6"/>
  <c r="N119" i="6" s="1"/>
  <c r="O119" i="6" s="1"/>
  <c r="L50" i="14"/>
  <c r="N47" i="14"/>
  <c r="O47" i="14" s="1"/>
  <c r="L67" i="14" l="1"/>
  <c r="N50" i="14"/>
  <c r="O50" i="14" s="1"/>
  <c r="L61" i="14"/>
  <c r="L62" i="14" l="1"/>
  <c r="N62" i="14" s="1"/>
  <c r="O62" i="14" s="1"/>
  <c r="N61" i="14"/>
  <c r="O61" i="14" s="1"/>
  <c r="L63" i="14"/>
  <c r="N67" i="14"/>
  <c r="O67" i="14" s="1"/>
  <c r="L68" i="14"/>
  <c r="N68" i="14" s="1"/>
  <c r="O68" i="14" s="1"/>
  <c r="L69" i="14" l="1"/>
  <c r="N69" i="14" s="1"/>
  <c r="O69" i="14" s="1"/>
  <c r="N63" i="14"/>
  <c r="O63" i="14" s="1"/>
  <c r="L65" i="14"/>
  <c r="N65" i="14" s="1"/>
  <c r="O65" i="14" s="1"/>
  <c r="L71" i="14" l="1"/>
  <c r="N71" i="14" s="1"/>
  <c r="O71" i="14" s="1"/>
  <c r="L331" i="2" l="1"/>
  <c r="N331" i="2" s="1"/>
  <c r="L405" i="2"/>
  <c r="N405" i="2" s="1"/>
  <c r="L479" i="2"/>
  <c r="N479" i="2" s="1"/>
  <c r="L109" i="2"/>
  <c r="N109" i="2" s="1"/>
  <c r="L34" i="2"/>
  <c r="N34" i="2" s="1"/>
  <c r="L183" i="2"/>
  <c r="N183" i="2" s="1"/>
  <c r="L257" i="2"/>
  <c r="N257" i="2" s="1"/>
  <c r="L34" i="5"/>
  <c r="L258" i="5"/>
  <c r="L108" i="5"/>
  <c r="L333" i="5"/>
  <c r="L182" i="5"/>
  <c r="N182" i="5" l="1"/>
  <c r="N108" i="5"/>
  <c r="N34" i="5"/>
  <c r="N333" i="5"/>
  <c r="N258" i="5"/>
  <c r="L34" i="11" l="1"/>
  <c r="N34" i="11" l="1"/>
  <c r="L110" i="12"/>
  <c r="L35" i="12"/>
  <c r="L109" i="10"/>
  <c r="L34" i="10"/>
  <c r="L35" i="6"/>
  <c r="L110" i="6"/>
  <c r="L185" i="6"/>
  <c r="L260" i="6"/>
  <c r="L35" i="13"/>
  <c r="L110" i="13"/>
  <c r="L185" i="13"/>
  <c r="L260" i="13"/>
  <c r="L112" i="8"/>
  <c r="L35" i="8"/>
  <c r="L188" i="8"/>
  <c r="L184" i="2" l="1"/>
  <c r="N184" i="2" s="1"/>
  <c r="L35" i="2"/>
  <c r="N35" i="2" s="1"/>
  <c r="L480" i="2"/>
  <c r="N480" i="2" s="1"/>
  <c r="L406" i="2"/>
  <c r="N406" i="2" s="1"/>
  <c r="L258" i="2"/>
  <c r="N258" i="2" s="1"/>
  <c r="L110" i="2"/>
  <c r="N110" i="2" s="1"/>
  <c r="L332" i="2"/>
  <c r="N332" i="2" s="1"/>
  <c r="N35" i="8"/>
  <c r="N260" i="13"/>
  <c r="N110" i="13"/>
  <c r="N260" i="6"/>
  <c r="N110" i="6"/>
  <c r="N34" i="10"/>
  <c r="N35" i="12"/>
  <c r="N188" i="8"/>
  <c r="N112" i="8"/>
  <c r="N185" i="13"/>
  <c r="N35" i="13"/>
  <c r="N185" i="6"/>
  <c r="N35" i="6"/>
  <c r="N109" i="10"/>
  <c r="N110" i="12"/>
  <c r="L40" i="11" l="1"/>
  <c r="N40" i="11" l="1"/>
  <c r="O40" i="11" s="1"/>
  <c r="L193" i="8" l="1"/>
  <c r="L117" i="8"/>
  <c r="L40" i="8"/>
  <c r="L265" i="13"/>
  <c r="L265" i="6"/>
  <c r="L190" i="13"/>
  <c r="L190" i="6"/>
  <c r="L115" i="13"/>
  <c r="L115" i="6"/>
  <c r="L40" i="13"/>
  <c r="L40" i="6"/>
  <c r="L40" i="10"/>
  <c r="L115" i="10"/>
  <c r="L40" i="5"/>
  <c r="L339" i="5"/>
  <c r="L264" i="5"/>
  <c r="L188" i="5"/>
  <c r="L114" i="5"/>
  <c r="L40" i="12"/>
  <c r="L115" i="12"/>
  <c r="L40" i="2" l="1"/>
  <c r="N40" i="2" s="1"/>
  <c r="O40" i="2" s="1"/>
  <c r="L485" i="2"/>
  <c r="N485" i="2" s="1"/>
  <c r="O485" i="2" s="1"/>
  <c r="L411" i="2"/>
  <c r="N411" i="2" s="1"/>
  <c r="O411" i="2" s="1"/>
  <c r="L337" i="2"/>
  <c r="N337" i="2" s="1"/>
  <c r="O337" i="2" s="1"/>
  <c r="L263" i="2"/>
  <c r="N263" i="2" s="1"/>
  <c r="O263" i="2" s="1"/>
  <c r="L189" i="2"/>
  <c r="N189" i="2" s="1"/>
  <c r="O189" i="2" s="1"/>
  <c r="L115" i="2"/>
  <c r="N115" i="2" s="1"/>
  <c r="O115" i="2" s="1"/>
  <c r="N115" i="12"/>
  <c r="O115" i="12" s="1"/>
  <c r="N114" i="5"/>
  <c r="O114" i="5" s="1"/>
  <c r="N264" i="5"/>
  <c r="O264" i="5" s="1"/>
  <c r="N40" i="5"/>
  <c r="O40" i="5" s="1"/>
  <c r="N40" i="10"/>
  <c r="O40" i="10" s="1"/>
  <c r="N40" i="13"/>
  <c r="O40" i="13" s="1"/>
  <c r="N115" i="13"/>
  <c r="O115" i="13" s="1"/>
  <c r="N190" i="13"/>
  <c r="O190" i="13" s="1"/>
  <c r="N265" i="13"/>
  <c r="O265" i="13" s="1"/>
  <c r="N117" i="8"/>
  <c r="O117" i="8" s="1"/>
  <c r="N40" i="12"/>
  <c r="O40" i="12" s="1"/>
  <c r="N188" i="5"/>
  <c r="O188" i="5" s="1"/>
  <c r="N339" i="5"/>
  <c r="O339" i="5" s="1"/>
  <c r="N115" i="10"/>
  <c r="O115" i="10" s="1"/>
  <c r="N40" i="6"/>
  <c r="O40" i="6" s="1"/>
  <c r="N115" i="6"/>
  <c r="O115" i="6" s="1"/>
  <c r="N190" i="6"/>
  <c r="O190" i="6" s="1"/>
  <c r="N265" i="6"/>
  <c r="O265" i="6" s="1"/>
  <c r="N40" i="8"/>
  <c r="O40" i="8" s="1"/>
  <c r="N193" i="8"/>
  <c r="O193" i="8" s="1"/>
  <c r="L36" i="11" l="1"/>
  <c r="L36" i="12" l="1"/>
  <c r="L111" i="12"/>
  <c r="L35" i="10"/>
  <c r="L110" i="10"/>
  <c r="N36" i="11"/>
  <c r="L39" i="11"/>
  <c r="L189" i="8"/>
  <c r="L36" i="8"/>
  <c r="L113" i="8"/>
  <c r="L261" i="13"/>
  <c r="L186" i="13"/>
  <c r="L111" i="13"/>
  <c r="L36" i="13"/>
  <c r="L261" i="6"/>
  <c r="L186" i="6"/>
  <c r="L111" i="6"/>
  <c r="L36" i="6"/>
  <c r="L335" i="5"/>
  <c r="L36" i="5"/>
  <c r="L260" i="5"/>
  <c r="L110" i="5"/>
  <c r="L184" i="5"/>
  <c r="N184" i="5" l="1"/>
  <c r="L187" i="5"/>
  <c r="N260" i="5"/>
  <c r="L263" i="5"/>
  <c r="N335" i="5"/>
  <c r="L338" i="5"/>
  <c r="N111" i="6"/>
  <c r="L114" i="6"/>
  <c r="N261" i="6"/>
  <c r="L264" i="6"/>
  <c r="N111" i="13"/>
  <c r="L114" i="13"/>
  <c r="N261" i="13"/>
  <c r="L264" i="13"/>
  <c r="N36" i="8"/>
  <c r="L39" i="8"/>
  <c r="N39" i="11"/>
  <c r="O39" i="11" s="1"/>
  <c r="L47" i="11"/>
  <c r="N110" i="10"/>
  <c r="L114" i="10"/>
  <c r="N111" i="12"/>
  <c r="L114" i="12"/>
  <c r="N110" i="5"/>
  <c r="L113" i="5"/>
  <c r="N36" i="5"/>
  <c r="L39" i="5"/>
  <c r="N36" i="6"/>
  <c r="L39" i="6"/>
  <c r="N186" i="6"/>
  <c r="L189" i="6"/>
  <c r="N36" i="13"/>
  <c r="L39" i="13"/>
  <c r="N186" i="13"/>
  <c r="L189" i="13"/>
  <c r="N113" i="8"/>
  <c r="L116" i="8"/>
  <c r="N189" i="8"/>
  <c r="L192" i="8"/>
  <c r="N35" i="10"/>
  <c r="L39" i="10"/>
  <c r="N36" i="12"/>
  <c r="L39" i="12"/>
  <c r="N39" i="12" l="1"/>
  <c r="O39" i="12" s="1"/>
  <c r="L47" i="12"/>
  <c r="N39" i="10"/>
  <c r="O39" i="10" s="1"/>
  <c r="L47" i="10"/>
  <c r="N192" i="8"/>
  <c r="O192" i="8" s="1"/>
  <c r="L200" i="8"/>
  <c r="N116" i="8"/>
  <c r="O116" i="8" s="1"/>
  <c r="L124" i="8"/>
  <c r="N189" i="13"/>
  <c r="O189" i="13" s="1"/>
  <c r="L197" i="13"/>
  <c r="N39" i="13"/>
  <c r="O39" i="13" s="1"/>
  <c r="L47" i="13"/>
  <c r="N189" i="6"/>
  <c r="O189" i="6" s="1"/>
  <c r="L197" i="6"/>
  <c r="N39" i="6"/>
  <c r="O39" i="6" s="1"/>
  <c r="L47" i="6"/>
  <c r="N39" i="5"/>
  <c r="O39" i="5" s="1"/>
  <c r="L47" i="5"/>
  <c r="N113" i="5"/>
  <c r="O113" i="5" s="1"/>
  <c r="L121" i="5"/>
  <c r="N114" i="12"/>
  <c r="O114" i="12" s="1"/>
  <c r="L122" i="12"/>
  <c r="N114" i="10"/>
  <c r="O114" i="10" s="1"/>
  <c r="L122" i="10"/>
  <c r="N47" i="11"/>
  <c r="O47" i="11" s="1"/>
  <c r="L50" i="11"/>
  <c r="N39" i="8"/>
  <c r="O39" i="8" s="1"/>
  <c r="L47" i="8"/>
  <c r="N264" i="13"/>
  <c r="O264" i="13" s="1"/>
  <c r="L272" i="13"/>
  <c r="N114" i="13"/>
  <c r="O114" i="13" s="1"/>
  <c r="L122" i="13"/>
  <c r="N264" i="6"/>
  <c r="O264" i="6" s="1"/>
  <c r="L272" i="6"/>
  <c r="N114" i="6"/>
  <c r="O114" i="6" s="1"/>
  <c r="L122" i="6"/>
  <c r="N338" i="5"/>
  <c r="O338" i="5" s="1"/>
  <c r="L346" i="5"/>
  <c r="N263" i="5"/>
  <c r="O263" i="5" s="1"/>
  <c r="L271" i="5"/>
  <c r="N187" i="5"/>
  <c r="O187" i="5" s="1"/>
  <c r="L195" i="5"/>
  <c r="L198" i="5" l="1"/>
  <c r="N195" i="5"/>
  <c r="O195" i="5" s="1"/>
  <c r="N271" i="5"/>
  <c r="O271" i="5" s="1"/>
  <c r="L274" i="5"/>
  <c r="L349" i="5"/>
  <c r="N346" i="5"/>
  <c r="O346" i="5" s="1"/>
  <c r="N122" i="6"/>
  <c r="O122" i="6" s="1"/>
  <c r="L125" i="6"/>
  <c r="L275" i="6"/>
  <c r="N272" i="6"/>
  <c r="O272" i="6" s="1"/>
  <c r="L125" i="13"/>
  <c r="N122" i="13"/>
  <c r="O122" i="13" s="1"/>
  <c r="N272" i="13"/>
  <c r="O272" i="13" s="1"/>
  <c r="L275" i="13"/>
  <c r="N47" i="8"/>
  <c r="O47" i="8" s="1"/>
  <c r="L50" i="8"/>
  <c r="L67" i="11"/>
  <c r="N50" i="11"/>
  <c r="O50" i="11" s="1"/>
  <c r="L61" i="11"/>
  <c r="L125" i="10"/>
  <c r="N122" i="10"/>
  <c r="O122" i="10" s="1"/>
  <c r="N122" i="12"/>
  <c r="O122" i="12" s="1"/>
  <c r="L125" i="12"/>
  <c r="N121" i="5"/>
  <c r="O121" i="5" s="1"/>
  <c r="L124" i="5"/>
  <c r="L50" i="5"/>
  <c r="N47" i="5"/>
  <c r="O47" i="5" s="1"/>
  <c r="N47" i="6"/>
  <c r="O47" i="6" s="1"/>
  <c r="L50" i="6"/>
  <c r="N197" i="6"/>
  <c r="O197" i="6" s="1"/>
  <c r="L200" i="6"/>
  <c r="N47" i="13"/>
  <c r="O47" i="13" s="1"/>
  <c r="L50" i="13"/>
  <c r="N197" i="13"/>
  <c r="O197" i="13" s="1"/>
  <c r="L200" i="13"/>
  <c r="N124" i="8"/>
  <c r="O124" i="8" s="1"/>
  <c r="L127" i="8"/>
  <c r="N200" i="8"/>
  <c r="O200" i="8" s="1"/>
  <c r="L203" i="8"/>
  <c r="N47" i="10"/>
  <c r="O47" i="10" s="1"/>
  <c r="L50" i="10"/>
  <c r="N47" i="12"/>
  <c r="O47" i="12" s="1"/>
  <c r="L50" i="12"/>
  <c r="L407" i="2"/>
  <c r="L333" i="2"/>
  <c r="L185" i="2"/>
  <c r="L111" i="2"/>
  <c r="L481" i="2"/>
  <c r="L259" i="2"/>
  <c r="L36" i="2"/>
  <c r="L61" i="5" l="1"/>
  <c r="N50" i="5"/>
  <c r="O50" i="5" s="1"/>
  <c r="L67" i="5"/>
  <c r="N125" i="10"/>
  <c r="O125" i="10" s="1"/>
  <c r="L142" i="10"/>
  <c r="L136" i="10"/>
  <c r="L67" i="8"/>
  <c r="L61" i="8"/>
  <c r="N50" i="8"/>
  <c r="O50" i="8" s="1"/>
  <c r="N275" i="13"/>
  <c r="O275" i="13" s="1"/>
  <c r="L286" i="13"/>
  <c r="L292" i="13"/>
  <c r="L136" i="6"/>
  <c r="N125" i="6"/>
  <c r="O125" i="6" s="1"/>
  <c r="L142" i="6"/>
  <c r="L291" i="5"/>
  <c r="L285" i="5"/>
  <c r="N274" i="5"/>
  <c r="O274" i="5" s="1"/>
  <c r="L61" i="12"/>
  <c r="L67" i="12"/>
  <c r="N50" i="12"/>
  <c r="O50" i="12" s="1"/>
  <c r="N50" i="10"/>
  <c r="O50" i="10" s="1"/>
  <c r="L61" i="10"/>
  <c r="L67" i="10"/>
  <c r="L220" i="8"/>
  <c r="N203" i="8"/>
  <c r="O203" i="8" s="1"/>
  <c r="L214" i="8"/>
  <c r="L144" i="8"/>
  <c r="L138" i="8"/>
  <c r="N127" i="8"/>
  <c r="O127" i="8" s="1"/>
  <c r="L211" i="13"/>
  <c r="L217" i="13"/>
  <c r="N200" i="13"/>
  <c r="O200" i="13" s="1"/>
  <c r="L61" i="13"/>
  <c r="L67" i="13"/>
  <c r="N50" i="13"/>
  <c r="O50" i="13" s="1"/>
  <c r="L217" i="6"/>
  <c r="L211" i="6"/>
  <c r="N200" i="6"/>
  <c r="O200" i="6" s="1"/>
  <c r="N50" i="6"/>
  <c r="O50" i="6" s="1"/>
  <c r="L67" i="6"/>
  <c r="L61" i="6"/>
  <c r="N124" i="5"/>
  <c r="O124" i="5" s="1"/>
  <c r="L135" i="5"/>
  <c r="L141" i="5"/>
  <c r="L136" i="12"/>
  <c r="N125" i="12"/>
  <c r="O125" i="12" s="1"/>
  <c r="L142" i="12"/>
  <c r="N61" i="11"/>
  <c r="O61" i="11" s="1"/>
  <c r="L62" i="11"/>
  <c r="N62" i="11" s="1"/>
  <c r="O62" i="11" s="1"/>
  <c r="N67" i="11"/>
  <c r="O67" i="11" s="1"/>
  <c r="L68" i="11"/>
  <c r="N68" i="11" s="1"/>
  <c r="O68" i="11" s="1"/>
  <c r="L142" i="13"/>
  <c r="N125" i="13"/>
  <c r="O125" i="13" s="1"/>
  <c r="L136" i="13"/>
  <c r="L292" i="6"/>
  <c r="L286" i="6"/>
  <c r="N275" i="6"/>
  <c r="O275" i="6" s="1"/>
  <c r="L366" i="5"/>
  <c r="L360" i="5"/>
  <c r="N349" i="5"/>
  <c r="O349" i="5" s="1"/>
  <c r="L209" i="5"/>
  <c r="L215" i="5"/>
  <c r="N198" i="5"/>
  <c r="O198" i="5" s="1"/>
  <c r="N259" i="2"/>
  <c r="L262" i="2"/>
  <c r="N111" i="2"/>
  <c r="L114" i="2"/>
  <c r="N333" i="2"/>
  <c r="L336" i="2"/>
  <c r="N36" i="2"/>
  <c r="L39" i="2"/>
  <c r="N481" i="2"/>
  <c r="L484" i="2"/>
  <c r="N185" i="2"/>
  <c r="L188" i="2"/>
  <c r="N407" i="2"/>
  <c r="L410" i="2"/>
  <c r="L63" i="11" l="1"/>
  <c r="L210" i="5"/>
  <c r="N210" i="5" s="1"/>
  <c r="O210" i="5" s="1"/>
  <c r="N209" i="5"/>
  <c r="O209" i="5" s="1"/>
  <c r="L211" i="5"/>
  <c r="N360" i="5"/>
  <c r="O360" i="5" s="1"/>
  <c r="L361" i="5"/>
  <c r="N361" i="5" s="1"/>
  <c r="O361" i="5" s="1"/>
  <c r="N292" i="6"/>
  <c r="O292" i="6" s="1"/>
  <c r="L293" i="6"/>
  <c r="N293" i="6" s="1"/>
  <c r="O293" i="6" s="1"/>
  <c r="L69" i="11"/>
  <c r="L143" i="12"/>
  <c r="N143" i="12" s="1"/>
  <c r="O143" i="12" s="1"/>
  <c r="N142" i="12"/>
  <c r="O142" i="12" s="1"/>
  <c r="L144" i="12"/>
  <c r="N136" i="12"/>
  <c r="O136" i="12" s="1"/>
  <c r="L137" i="12"/>
  <c r="N137" i="12" s="1"/>
  <c r="O137" i="12" s="1"/>
  <c r="L136" i="5"/>
  <c r="N136" i="5" s="1"/>
  <c r="O136" i="5" s="1"/>
  <c r="N135" i="5"/>
  <c r="O135" i="5" s="1"/>
  <c r="L62" i="6"/>
  <c r="N62" i="6" s="1"/>
  <c r="O62" i="6" s="1"/>
  <c r="N61" i="6"/>
  <c r="O61" i="6" s="1"/>
  <c r="L63" i="6"/>
  <c r="N211" i="6"/>
  <c r="O211" i="6" s="1"/>
  <c r="L212" i="6"/>
  <c r="N212" i="6" s="1"/>
  <c r="O212" i="6" s="1"/>
  <c r="N61" i="13"/>
  <c r="O61" i="13" s="1"/>
  <c r="L62" i="13"/>
  <c r="N62" i="13" s="1"/>
  <c r="O62" i="13" s="1"/>
  <c r="N217" i="13"/>
  <c r="O217" i="13" s="1"/>
  <c r="L218" i="13"/>
  <c r="N218" i="13" s="1"/>
  <c r="O218" i="13" s="1"/>
  <c r="L145" i="8"/>
  <c r="N145" i="8" s="1"/>
  <c r="O145" i="8" s="1"/>
  <c r="N144" i="8"/>
  <c r="O144" i="8" s="1"/>
  <c r="L146" i="8"/>
  <c r="N67" i="10"/>
  <c r="O67" i="10" s="1"/>
  <c r="L68" i="10"/>
  <c r="N68" i="10" s="1"/>
  <c r="O68" i="10" s="1"/>
  <c r="L68" i="12"/>
  <c r="N68" i="12" s="1"/>
  <c r="O68" i="12" s="1"/>
  <c r="N67" i="12"/>
  <c r="O67" i="12" s="1"/>
  <c r="L69" i="12"/>
  <c r="L292" i="5"/>
  <c r="N292" i="5" s="1"/>
  <c r="O292" i="5" s="1"/>
  <c r="N291" i="5"/>
  <c r="O291" i="5" s="1"/>
  <c r="N292" i="13"/>
  <c r="O292" i="13" s="1"/>
  <c r="L293" i="13"/>
  <c r="N293" i="13" s="1"/>
  <c r="O293" i="13" s="1"/>
  <c r="L62" i="8"/>
  <c r="N62" i="8" s="1"/>
  <c r="O62" i="8" s="1"/>
  <c r="N61" i="8"/>
  <c r="O61" i="8" s="1"/>
  <c r="N136" i="10"/>
  <c r="O136" i="10" s="1"/>
  <c r="L137" i="10"/>
  <c r="N137" i="10" s="1"/>
  <c r="O137" i="10" s="1"/>
  <c r="N215" i="5"/>
  <c r="O215" i="5" s="1"/>
  <c r="L216" i="5"/>
  <c r="N216" i="5" s="1"/>
  <c r="O216" i="5" s="1"/>
  <c r="N366" i="5"/>
  <c r="O366" i="5" s="1"/>
  <c r="L367" i="5"/>
  <c r="N367" i="5" s="1"/>
  <c r="O367" i="5" s="1"/>
  <c r="L287" i="6"/>
  <c r="N287" i="6" s="1"/>
  <c r="O287" i="6" s="1"/>
  <c r="N286" i="6"/>
  <c r="O286" i="6" s="1"/>
  <c r="L137" i="13"/>
  <c r="N137" i="13" s="1"/>
  <c r="O137" i="13" s="1"/>
  <c r="N136" i="13"/>
  <c r="O136" i="13" s="1"/>
  <c r="L138" i="13"/>
  <c r="L143" i="13"/>
  <c r="N143" i="13" s="1"/>
  <c r="O143" i="13" s="1"/>
  <c r="N142" i="13"/>
  <c r="O142" i="13" s="1"/>
  <c r="N63" i="11"/>
  <c r="O63" i="11" s="1"/>
  <c r="L65" i="11"/>
  <c r="N65" i="11" s="1"/>
  <c r="O65" i="11" s="1"/>
  <c r="N141" i="5"/>
  <c r="O141" i="5" s="1"/>
  <c r="L142" i="5"/>
  <c r="N142" i="5" s="1"/>
  <c r="O142" i="5" s="1"/>
  <c r="N67" i="6"/>
  <c r="O67" i="6" s="1"/>
  <c r="L68" i="6"/>
  <c r="N68" i="6" s="1"/>
  <c r="O68" i="6" s="1"/>
  <c r="L218" i="6"/>
  <c r="N218" i="6" s="1"/>
  <c r="O218" i="6" s="1"/>
  <c r="N217" i="6"/>
  <c r="O217" i="6" s="1"/>
  <c r="L219" i="6"/>
  <c r="N67" i="13"/>
  <c r="O67" i="13" s="1"/>
  <c r="L68" i="13"/>
  <c r="N68" i="13" s="1"/>
  <c r="O68" i="13" s="1"/>
  <c r="N211" i="13"/>
  <c r="O211" i="13" s="1"/>
  <c r="L212" i="13"/>
  <c r="N212" i="13" s="1"/>
  <c r="O212" i="13" s="1"/>
  <c r="L139" i="8"/>
  <c r="N139" i="8" s="1"/>
  <c r="O139" i="8" s="1"/>
  <c r="N138" i="8"/>
  <c r="O138" i="8" s="1"/>
  <c r="L215" i="8"/>
  <c r="N215" i="8" s="1"/>
  <c r="O215" i="8" s="1"/>
  <c r="N214" i="8"/>
  <c r="O214" i="8" s="1"/>
  <c r="L221" i="8"/>
  <c r="N221" i="8" s="1"/>
  <c r="O221" i="8" s="1"/>
  <c r="N220" i="8"/>
  <c r="O220" i="8" s="1"/>
  <c r="L222" i="8"/>
  <c r="L62" i="10"/>
  <c r="N62" i="10" s="1"/>
  <c r="O62" i="10" s="1"/>
  <c r="N61" i="10"/>
  <c r="O61" i="10" s="1"/>
  <c r="L63" i="10"/>
  <c r="L62" i="12"/>
  <c r="N62" i="12" s="1"/>
  <c r="O62" i="12" s="1"/>
  <c r="N61" i="12"/>
  <c r="O61" i="12" s="1"/>
  <c r="L63" i="12"/>
  <c r="N285" i="5"/>
  <c r="O285" i="5" s="1"/>
  <c r="L286" i="5"/>
  <c r="N286" i="5" s="1"/>
  <c r="O286" i="5" s="1"/>
  <c r="N142" i="6"/>
  <c r="O142" i="6" s="1"/>
  <c r="L143" i="6"/>
  <c r="N143" i="6" s="1"/>
  <c r="O143" i="6" s="1"/>
  <c r="L137" i="6"/>
  <c r="N137" i="6" s="1"/>
  <c r="O137" i="6" s="1"/>
  <c r="N136" i="6"/>
  <c r="O136" i="6" s="1"/>
  <c r="L138" i="6"/>
  <c r="N286" i="13"/>
  <c r="O286" i="13" s="1"/>
  <c r="L287" i="13"/>
  <c r="N287" i="13" s="1"/>
  <c r="O287" i="13" s="1"/>
  <c r="L68" i="8"/>
  <c r="N68" i="8" s="1"/>
  <c r="O68" i="8" s="1"/>
  <c r="N67" i="8"/>
  <c r="O67" i="8" s="1"/>
  <c r="L69" i="8"/>
  <c r="N142" i="10"/>
  <c r="O142" i="10" s="1"/>
  <c r="L143" i="10"/>
  <c r="N143" i="10" s="1"/>
  <c r="O143" i="10" s="1"/>
  <c r="N67" i="5"/>
  <c r="O67" i="5" s="1"/>
  <c r="L68" i="5"/>
  <c r="N68" i="5" s="1"/>
  <c r="O68" i="5" s="1"/>
  <c r="L62" i="5"/>
  <c r="N62" i="5" s="1"/>
  <c r="O62" i="5" s="1"/>
  <c r="N61" i="5"/>
  <c r="O61" i="5" s="1"/>
  <c r="L63" i="5"/>
  <c r="N410" i="2"/>
  <c r="O410" i="2" s="1"/>
  <c r="L418" i="2"/>
  <c r="N188" i="2"/>
  <c r="O188" i="2" s="1"/>
  <c r="L196" i="2"/>
  <c r="N484" i="2"/>
  <c r="O484" i="2" s="1"/>
  <c r="L492" i="2"/>
  <c r="N39" i="2"/>
  <c r="O39" i="2" s="1"/>
  <c r="L47" i="2"/>
  <c r="N336" i="2"/>
  <c r="O336" i="2" s="1"/>
  <c r="L344" i="2"/>
  <c r="N114" i="2"/>
  <c r="O114" i="2" s="1"/>
  <c r="L122" i="2"/>
  <c r="N262" i="2"/>
  <c r="O262" i="2" s="1"/>
  <c r="L270" i="2"/>
  <c r="L69" i="10" l="1"/>
  <c r="L213" i="6"/>
  <c r="N213" i="6" s="1"/>
  <c r="O213" i="6" s="1"/>
  <c r="L294" i="6"/>
  <c r="L219" i="13"/>
  <c r="N219" i="13" s="1"/>
  <c r="O219" i="13" s="1"/>
  <c r="L144" i="10"/>
  <c r="L288" i="13"/>
  <c r="L290" i="13" s="1"/>
  <c r="N290" i="13" s="1"/>
  <c r="O290" i="13" s="1"/>
  <c r="L144" i="6"/>
  <c r="L217" i="5"/>
  <c r="N217" i="5" s="1"/>
  <c r="O217" i="5" s="1"/>
  <c r="L368" i="5"/>
  <c r="L216" i="8"/>
  <c r="L218" i="8" s="1"/>
  <c r="N218" i="8" s="1"/>
  <c r="O218" i="8" s="1"/>
  <c r="L69" i="13"/>
  <c r="L69" i="6"/>
  <c r="N69" i="6" s="1"/>
  <c r="O69" i="6" s="1"/>
  <c r="L69" i="5"/>
  <c r="N69" i="8"/>
  <c r="O69" i="8" s="1"/>
  <c r="L71" i="8"/>
  <c r="N71" i="8" s="1"/>
  <c r="O71" i="8" s="1"/>
  <c r="N138" i="6"/>
  <c r="O138" i="6" s="1"/>
  <c r="L140" i="6"/>
  <c r="N140" i="6" s="1"/>
  <c r="O140" i="6" s="1"/>
  <c r="L287" i="5"/>
  <c r="L65" i="10"/>
  <c r="N65" i="10" s="1"/>
  <c r="O65" i="10" s="1"/>
  <c r="N63" i="10"/>
  <c r="O63" i="10" s="1"/>
  <c r="L140" i="8"/>
  <c r="L213" i="13"/>
  <c r="L221" i="6"/>
  <c r="N221" i="6" s="1"/>
  <c r="O221" i="6" s="1"/>
  <c r="N219" i="6"/>
  <c r="O219" i="6" s="1"/>
  <c r="L143" i="5"/>
  <c r="L144" i="13"/>
  <c r="L140" i="13"/>
  <c r="N140" i="13" s="1"/>
  <c r="O140" i="13" s="1"/>
  <c r="N138" i="13"/>
  <c r="O138" i="13" s="1"/>
  <c r="L288" i="6"/>
  <c r="L138" i="10"/>
  <c r="L63" i="8"/>
  <c r="L294" i="13"/>
  <c r="L293" i="5"/>
  <c r="L71" i="12"/>
  <c r="N71" i="12" s="1"/>
  <c r="O71" i="12" s="1"/>
  <c r="N69" i="12"/>
  <c r="O69" i="12" s="1"/>
  <c r="L148" i="8"/>
  <c r="N148" i="8" s="1"/>
  <c r="O148" i="8" s="1"/>
  <c r="N146" i="8"/>
  <c r="O146" i="8" s="1"/>
  <c r="L63" i="13"/>
  <c r="N63" i="6"/>
  <c r="O63" i="6" s="1"/>
  <c r="L65" i="6"/>
  <c r="N65" i="6" s="1"/>
  <c r="O65" i="6" s="1"/>
  <c r="L137" i="5"/>
  <c r="L138" i="12"/>
  <c r="N69" i="11"/>
  <c r="O69" i="11" s="1"/>
  <c r="L71" i="11"/>
  <c r="N71" i="11" s="1"/>
  <c r="O71" i="11" s="1"/>
  <c r="L362" i="5"/>
  <c r="N63" i="5"/>
  <c r="O63" i="5" s="1"/>
  <c r="L64" i="5"/>
  <c r="N64" i="5" s="1"/>
  <c r="O64" i="5" s="1"/>
  <c r="N144" i="10"/>
  <c r="O144" i="10" s="1"/>
  <c r="L146" i="10"/>
  <c r="N146" i="10" s="1"/>
  <c r="O146" i="10" s="1"/>
  <c r="N288" i="13"/>
  <c r="O288" i="13" s="1"/>
  <c r="L146" i="6"/>
  <c r="N146" i="6" s="1"/>
  <c r="O146" i="6" s="1"/>
  <c r="N144" i="6"/>
  <c r="O144" i="6" s="1"/>
  <c r="L64" i="12"/>
  <c r="N64" i="12" s="1"/>
  <c r="O64" i="12" s="1"/>
  <c r="N63" i="12"/>
  <c r="O63" i="12" s="1"/>
  <c r="L65" i="12"/>
  <c r="N65" i="12" s="1"/>
  <c r="O65" i="12" s="1"/>
  <c r="N222" i="8"/>
  <c r="O222" i="8" s="1"/>
  <c r="L224" i="8"/>
  <c r="N224" i="8" s="1"/>
  <c r="O224" i="8" s="1"/>
  <c r="N216" i="8"/>
  <c r="O216" i="8" s="1"/>
  <c r="L71" i="13"/>
  <c r="N71" i="13" s="1"/>
  <c r="O71" i="13" s="1"/>
  <c r="N69" i="13"/>
  <c r="O69" i="13" s="1"/>
  <c r="L71" i="6"/>
  <c r="N71" i="6" s="1"/>
  <c r="O71" i="6" s="1"/>
  <c r="N368" i="5"/>
  <c r="O368" i="5" s="1"/>
  <c r="L369" i="5"/>
  <c r="N369" i="5" s="1"/>
  <c r="O369" i="5" s="1"/>
  <c r="L218" i="5"/>
  <c r="N218" i="5" s="1"/>
  <c r="O218" i="5" s="1"/>
  <c r="N69" i="10"/>
  <c r="O69" i="10" s="1"/>
  <c r="L71" i="10"/>
  <c r="N71" i="10" s="1"/>
  <c r="O71" i="10" s="1"/>
  <c r="L221" i="13"/>
  <c r="N221" i="13" s="1"/>
  <c r="O221" i="13" s="1"/>
  <c r="L215" i="6"/>
  <c r="N215" i="6" s="1"/>
  <c r="O215" i="6" s="1"/>
  <c r="L146" i="12"/>
  <c r="N146" i="12" s="1"/>
  <c r="O146" i="12" s="1"/>
  <c r="N144" i="12"/>
  <c r="O144" i="12" s="1"/>
  <c r="L296" i="6"/>
  <c r="N296" i="6" s="1"/>
  <c r="O296" i="6" s="1"/>
  <c r="N294" i="6"/>
  <c r="O294" i="6" s="1"/>
  <c r="L212" i="5"/>
  <c r="N212" i="5" s="1"/>
  <c r="O212" i="5" s="1"/>
  <c r="N211" i="5"/>
  <c r="O211" i="5" s="1"/>
  <c r="N270" i="2"/>
  <c r="O270" i="2" s="1"/>
  <c r="L273" i="2"/>
  <c r="N122" i="2"/>
  <c r="O122" i="2" s="1"/>
  <c r="L125" i="2"/>
  <c r="L347" i="2"/>
  <c r="N344" i="2"/>
  <c r="O344" i="2" s="1"/>
  <c r="N47" i="2"/>
  <c r="O47" i="2" s="1"/>
  <c r="L50" i="2"/>
  <c r="L495" i="2"/>
  <c r="N492" i="2"/>
  <c r="O492" i="2" s="1"/>
  <c r="N196" i="2"/>
  <c r="O196" i="2" s="1"/>
  <c r="L199" i="2"/>
  <c r="L421" i="2"/>
  <c r="N418" i="2"/>
  <c r="O418" i="2" s="1"/>
  <c r="L213" i="5" l="1"/>
  <c r="N213" i="5" s="1"/>
  <c r="O213" i="5" s="1"/>
  <c r="L219" i="5"/>
  <c r="N219" i="5" s="1"/>
  <c r="O219" i="5" s="1"/>
  <c r="L370" i="5"/>
  <c r="N370" i="5" s="1"/>
  <c r="O370" i="5" s="1"/>
  <c r="L65" i="5"/>
  <c r="N65" i="5" s="1"/>
  <c r="O65" i="5" s="1"/>
  <c r="N138" i="12"/>
  <c r="O138" i="12" s="1"/>
  <c r="L139" i="12"/>
  <c r="N139" i="12" s="1"/>
  <c r="O139" i="12" s="1"/>
  <c r="L65" i="13"/>
  <c r="N65" i="13" s="1"/>
  <c r="O65" i="13" s="1"/>
  <c r="N63" i="13"/>
  <c r="O63" i="13" s="1"/>
  <c r="L296" i="13"/>
  <c r="N296" i="13" s="1"/>
  <c r="O296" i="13" s="1"/>
  <c r="N294" i="13"/>
  <c r="O294" i="13" s="1"/>
  <c r="N138" i="10"/>
  <c r="O138" i="10" s="1"/>
  <c r="L140" i="10"/>
  <c r="N140" i="10" s="1"/>
  <c r="O140" i="10" s="1"/>
  <c r="L146" i="13"/>
  <c r="N146" i="13" s="1"/>
  <c r="O146" i="13" s="1"/>
  <c r="N144" i="13"/>
  <c r="O144" i="13" s="1"/>
  <c r="N213" i="13"/>
  <c r="O213" i="13" s="1"/>
  <c r="L215" i="13"/>
  <c r="N215" i="13" s="1"/>
  <c r="O215" i="13" s="1"/>
  <c r="L288" i="5"/>
  <c r="N288" i="5" s="1"/>
  <c r="O288" i="5" s="1"/>
  <c r="N287" i="5"/>
  <c r="O287" i="5" s="1"/>
  <c r="L363" i="5"/>
  <c r="N363" i="5" s="1"/>
  <c r="O363" i="5" s="1"/>
  <c r="N362" i="5"/>
  <c r="O362" i="5" s="1"/>
  <c r="N137" i="5"/>
  <c r="O137" i="5" s="1"/>
  <c r="L138" i="5"/>
  <c r="N138" i="5" s="1"/>
  <c r="O138" i="5" s="1"/>
  <c r="N293" i="5"/>
  <c r="O293" i="5" s="1"/>
  <c r="L294" i="5"/>
  <c r="N294" i="5" s="1"/>
  <c r="O294" i="5" s="1"/>
  <c r="N63" i="8"/>
  <c r="O63" i="8" s="1"/>
  <c r="L65" i="8"/>
  <c r="N65" i="8" s="1"/>
  <c r="O65" i="8" s="1"/>
  <c r="L290" i="6"/>
  <c r="N290" i="6" s="1"/>
  <c r="O290" i="6" s="1"/>
  <c r="N288" i="6"/>
  <c r="O288" i="6" s="1"/>
  <c r="N143" i="5"/>
  <c r="O143" i="5" s="1"/>
  <c r="L144" i="5"/>
  <c r="N144" i="5" s="1"/>
  <c r="O144" i="5" s="1"/>
  <c r="N140" i="8"/>
  <c r="O140" i="8" s="1"/>
  <c r="L142" i="8"/>
  <c r="N142" i="8" s="1"/>
  <c r="O142" i="8" s="1"/>
  <c r="N69" i="5"/>
  <c r="O69" i="5" s="1"/>
  <c r="L70" i="5"/>
  <c r="N70" i="5" s="1"/>
  <c r="O70" i="5" s="1"/>
  <c r="L216" i="2"/>
  <c r="N199" i="2"/>
  <c r="O199" i="2" s="1"/>
  <c r="L210" i="2"/>
  <c r="L61" i="2"/>
  <c r="N50" i="2"/>
  <c r="O50" i="2" s="1"/>
  <c r="L67" i="2"/>
  <c r="N125" i="2"/>
  <c r="O125" i="2" s="1"/>
  <c r="L142" i="2"/>
  <c r="L136" i="2"/>
  <c r="L290" i="2"/>
  <c r="N273" i="2"/>
  <c r="O273" i="2" s="1"/>
  <c r="L284" i="2"/>
  <c r="L432" i="2"/>
  <c r="L438" i="2"/>
  <c r="N421" i="2"/>
  <c r="O421" i="2" s="1"/>
  <c r="L512" i="2"/>
  <c r="N495" i="2"/>
  <c r="O495" i="2" s="1"/>
  <c r="L506" i="2"/>
  <c r="L358" i="2"/>
  <c r="L364" i="2"/>
  <c r="N347" i="2"/>
  <c r="O347" i="2" s="1"/>
  <c r="L140" i="12" l="1"/>
  <c r="N140" i="12" s="1"/>
  <c r="O140" i="12" s="1"/>
  <c r="L71" i="5"/>
  <c r="N71" i="5" s="1"/>
  <c r="O71" i="5" s="1"/>
  <c r="L295" i="5"/>
  <c r="N295" i="5" s="1"/>
  <c r="O295" i="5" s="1"/>
  <c r="L289" i="5"/>
  <c r="N289" i="5" s="1"/>
  <c r="O289" i="5" s="1"/>
  <c r="L145" i="5"/>
  <c r="N145" i="5" s="1"/>
  <c r="O145" i="5" s="1"/>
  <c r="L139" i="5"/>
  <c r="N139" i="5" s="1"/>
  <c r="O139" i="5" s="1"/>
  <c r="L364" i="5"/>
  <c r="N364" i="5" s="1"/>
  <c r="O364" i="5" s="1"/>
  <c r="N364" i="2"/>
  <c r="O364" i="2" s="1"/>
  <c r="L365" i="2"/>
  <c r="N365" i="2" s="1"/>
  <c r="O365" i="2" s="1"/>
  <c r="N506" i="2"/>
  <c r="O506" i="2" s="1"/>
  <c r="L507" i="2"/>
  <c r="N507" i="2" s="1"/>
  <c r="O507" i="2" s="1"/>
  <c r="N512" i="2"/>
  <c r="O512" i="2" s="1"/>
  <c r="L513" i="2"/>
  <c r="N513" i="2" s="1"/>
  <c r="O513" i="2" s="1"/>
  <c r="N438" i="2"/>
  <c r="O438" i="2" s="1"/>
  <c r="L439" i="2"/>
  <c r="N439" i="2" s="1"/>
  <c r="O439" i="2" s="1"/>
  <c r="L285" i="2"/>
  <c r="N285" i="2" s="1"/>
  <c r="O285" i="2" s="1"/>
  <c r="N284" i="2"/>
  <c r="O284" i="2" s="1"/>
  <c r="L286" i="2"/>
  <c r="N290" i="2"/>
  <c r="O290" i="2" s="1"/>
  <c r="L291" i="2"/>
  <c r="N291" i="2" s="1"/>
  <c r="O291" i="2" s="1"/>
  <c r="L143" i="2"/>
  <c r="N143" i="2" s="1"/>
  <c r="O143" i="2" s="1"/>
  <c r="N142" i="2"/>
  <c r="O142" i="2" s="1"/>
  <c r="L144" i="2"/>
  <c r="L68" i="2"/>
  <c r="N68" i="2" s="1"/>
  <c r="O68" i="2" s="1"/>
  <c r="N67" i="2"/>
  <c r="O67" i="2" s="1"/>
  <c r="L69" i="2"/>
  <c r="L62" i="2"/>
  <c r="N62" i="2" s="1"/>
  <c r="O62" i="2" s="1"/>
  <c r="N61" i="2"/>
  <c r="O61" i="2" s="1"/>
  <c r="L359" i="2"/>
  <c r="N359" i="2" s="1"/>
  <c r="O359" i="2" s="1"/>
  <c r="N358" i="2"/>
  <c r="O358" i="2" s="1"/>
  <c r="L433" i="2"/>
  <c r="N433" i="2" s="1"/>
  <c r="O433" i="2" s="1"/>
  <c r="N432" i="2"/>
  <c r="O432" i="2" s="1"/>
  <c r="L137" i="2"/>
  <c r="N137" i="2" s="1"/>
  <c r="O137" i="2" s="1"/>
  <c r="N136" i="2"/>
  <c r="O136" i="2" s="1"/>
  <c r="L211" i="2"/>
  <c r="N211" i="2" s="1"/>
  <c r="O211" i="2" s="1"/>
  <c r="N210" i="2"/>
  <c r="O210" i="2" s="1"/>
  <c r="L212" i="2"/>
  <c r="L217" i="2"/>
  <c r="N217" i="2" s="1"/>
  <c r="O217" i="2" s="1"/>
  <c r="N216" i="2"/>
  <c r="O216" i="2" s="1"/>
  <c r="L138" i="2" l="1"/>
  <c r="L139" i="2" s="1"/>
  <c r="N139" i="2" s="1"/>
  <c r="O139" i="2" s="1"/>
  <c r="L218" i="2"/>
  <c r="L219" i="2" s="1"/>
  <c r="N219" i="2" s="1"/>
  <c r="O219" i="2" s="1"/>
  <c r="L440" i="2"/>
  <c r="L508" i="2"/>
  <c r="N508" i="2" s="1"/>
  <c r="O508" i="2" s="1"/>
  <c r="L514" i="2"/>
  <c r="L366" i="2"/>
  <c r="N366" i="2" s="1"/>
  <c r="O366" i="2" s="1"/>
  <c r="L360" i="2"/>
  <c r="N218" i="2"/>
  <c r="O218" i="2" s="1"/>
  <c r="N138" i="2"/>
  <c r="O138" i="2" s="1"/>
  <c r="L434" i="2"/>
  <c r="L63" i="2"/>
  <c r="L70" i="2"/>
  <c r="N70" i="2" s="1"/>
  <c r="O70" i="2" s="1"/>
  <c r="N69" i="2"/>
  <c r="O69" i="2" s="1"/>
  <c r="L292" i="2"/>
  <c r="L441" i="2"/>
  <c r="N441" i="2" s="1"/>
  <c r="O441" i="2" s="1"/>
  <c r="N440" i="2"/>
  <c r="O440" i="2" s="1"/>
  <c r="L509" i="2"/>
  <c r="N509" i="2" s="1"/>
  <c r="O509" i="2" s="1"/>
  <c r="L213" i="2"/>
  <c r="N213" i="2" s="1"/>
  <c r="O213" i="2" s="1"/>
  <c r="N212" i="2"/>
  <c r="O212" i="2" s="1"/>
  <c r="N360" i="2"/>
  <c r="O360" i="2" s="1"/>
  <c r="L361" i="2"/>
  <c r="N361" i="2" s="1"/>
  <c r="O361" i="2" s="1"/>
  <c r="N144" i="2"/>
  <c r="O144" i="2" s="1"/>
  <c r="L145" i="2"/>
  <c r="N145" i="2" s="1"/>
  <c r="O145" i="2" s="1"/>
  <c r="N286" i="2"/>
  <c r="O286" i="2" s="1"/>
  <c r="L287" i="2"/>
  <c r="N287" i="2" s="1"/>
  <c r="O287" i="2" s="1"/>
  <c r="L515" i="2"/>
  <c r="N515" i="2" s="1"/>
  <c r="O515" i="2" s="1"/>
  <c r="N514" i="2"/>
  <c r="O514" i="2" s="1"/>
  <c r="L367" i="2"/>
  <c r="N367" i="2" s="1"/>
  <c r="O367" i="2" s="1"/>
  <c r="L442" i="2" l="1"/>
  <c r="N442" i="2" s="1"/>
  <c r="O442" i="2" s="1"/>
  <c r="L516" i="2"/>
  <c r="N516" i="2" s="1"/>
  <c r="O516" i="2" s="1"/>
  <c r="L510" i="2"/>
  <c r="N510" i="2" s="1"/>
  <c r="O510" i="2" s="1"/>
  <c r="L368" i="2"/>
  <c r="N368" i="2" s="1"/>
  <c r="O368" i="2" s="1"/>
  <c r="L146" i="2"/>
  <c r="N146" i="2" s="1"/>
  <c r="O146" i="2" s="1"/>
  <c r="L140" i="2"/>
  <c r="N140" i="2" s="1"/>
  <c r="O140" i="2" s="1"/>
  <c r="L288" i="2"/>
  <c r="N288" i="2" s="1"/>
  <c r="O288" i="2" s="1"/>
  <c r="L362" i="2"/>
  <c r="N362" i="2" s="1"/>
  <c r="O362" i="2" s="1"/>
  <c r="L214" i="2"/>
  <c r="N214" i="2" s="1"/>
  <c r="O214" i="2" s="1"/>
  <c r="L293" i="2"/>
  <c r="N293" i="2" s="1"/>
  <c r="O293" i="2" s="1"/>
  <c r="N292" i="2"/>
  <c r="O292" i="2" s="1"/>
  <c r="L294" i="2"/>
  <c r="N294" i="2" s="1"/>
  <c r="O294" i="2" s="1"/>
  <c r="L71" i="2"/>
  <c r="N71" i="2" s="1"/>
  <c r="O71" i="2" s="1"/>
  <c r="N63" i="2"/>
  <c r="O63" i="2" s="1"/>
  <c r="L64" i="2"/>
  <c r="N64" i="2" s="1"/>
  <c r="O64" i="2" s="1"/>
  <c r="N434" i="2"/>
  <c r="O434" i="2" s="1"/>
  <c r="L435" i="2"/>
  <c r="N435" i="2" s="1"/>
  <c r="O435" i="2" s="1"/>
  <c r="L220" i="2"/>
  <c r="N220" i="2" s="1"/>
  <c r="O220" i="2" s="1"/>
  <c r="L436" i="2" l="1"/>
  <c r="N436" i="2" s="1"/>
  <c r="O436" i="2" s="1"/>
  <c r="L65" i="2"/>
  <c r="N65" i="2" s="1"/>
  <c r="O65" i="2" s="1"/>
</calcChain>
</file>

<file path=xl/comments1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00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0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7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7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7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7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8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48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0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22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32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96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39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9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9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70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47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7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7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7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7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7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8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8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8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8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8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8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8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99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00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7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7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7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7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8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49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0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3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00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0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7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7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7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7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8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50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00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0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7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7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7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7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8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50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5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26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02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0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2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78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79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80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8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8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8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9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9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00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0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00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101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2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3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10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0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11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7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118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<sst xmlns="http://schemas.openxmlformats.org/spreadsheetml/2006/main" count="2714" uniqueCount="81">
  <si>
    <t>File Number:</t>
  </si>
  <si>
    <t>Exhibit:</t>
  </si>
  <si>
    <t>Tab:</t>
  </si>
  <si>
    <t>Schedule:</t>
  </si>
  <si>
    <t>Page:</t>
  </si>
  <si>
    <t>Date:</t>
  </si>
  <si>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</si>
  <si>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</si>
  <si>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</si>
  <si>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</si>
  <si>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</si>
  <si>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</si>
  <si>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</si>
  <si>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</si>
  <si>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</si>
  <si>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</si>
  <si>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</si>
  <si>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</si>
  <si>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</si>
  <si>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</si>
  <si>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</si>
  <si>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</si>
  <si>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</si>
  <si>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</si>
  <si>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</si>
  <si>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</si>
  <si>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>Distribution Volumetric Rate</t>
  </si>
  <si>
    <t>per kWh</t>
  </si>
  <si>
    <t>Smart Meter Disposition Rider</t>
  </si>
  <si>
    <t>LRAM &amp; SSM Rate Rider</t>
  </si>
  <si>
    <t>Rate Rider for recovery of Incremental Capital Costs</t>
  </si>
  <si>
    <t>Rate Rider for Application of Tax Change (2013)</t>
  </si>
  <si>
    <t>Rate Rider for disposition Stranded Meter</t>
  </si>
  <si>
    <t>Sub-Total A (excluding pass through)</t>
  </si>
  <si>
    <t>Deferral/Variance Account Disposition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</si>
  <si>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</si>
  <si>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</si>
  <si>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</si>
  <si>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</si>
  <si>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</si>
  <si>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</si>
  <si>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</si>
  <si>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</si>
  <si>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</si>
  <si>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</si>
  <si>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</si>
  <si>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</si>
  <si>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</si>
  <si>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</si>
  <si>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</si>
  <si>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</si>
  <si>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</si>
  <si>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</si>
  <si>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</si>
  <si>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</si>
  <si>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</si>
  <si>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</si>
  <si>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</si>
  <si>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</si>
  <si>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</si>
  <si>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</si>
  <si>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</si>
  <si>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Note that cells with the highlighted color shown to the left indicate quantities that are loss adjusted.</t>
  </si>
  <si>
    <t>non-TOU</t>
  </si>
  <si>
    <t xml:space="preserve"> kW</t>
  </si>
  <si>
    <t>GS  &lt; 50 KW</t>
  </si>
  <si>
    <t xml:space="preserve">Residential </t>
  </si>
  <si>
    <t>per kW</t>
  </si>
  <si>
    <t>GS  &gt; 50 KW - RPP  Non-Interval Metered</t>
  </si>
  <si>
    <t xml:space="preserve">GS  &gt; 1000 KW - Non-RPP  </t>
  </si>
  <si>
    <t>Rate Rider for Recovery of GA for Non-RPP Customers</t>
  </si>
  <si>
    <t xml:space="preserve">Embedded Distributor - Non-RPP  </t>
  </si>
  <si>
    <t>Street Lighting</t>
  </si>
  <si>
    <t>Connections</t>
  </si>
  <si>
    <t>Sentinel Light</t>
  </si>
  <si>
    <t xml:space="preserve">Unmetered and Scattered Loads </t>
  </si>
  <si>
    <t>EB-2013-0159</t>
  </si>
  <si>
    <t>GS  &gt; 50 KW - RPP  Interval Metered</t>
  </si>
  <si>
    <t>Rate Rider for Disposition of Account 1576</t>
  </si>
  <si>
    <t xml:space="preserve">Rate Rider for Disposition of CGAAP CWIP differential </t>
  </si>
  <si>
    <t xml:space="preserve">Rate Rider for Disposition of Incremental Capital Expenditures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</si>
</sst>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[$-409]mmmm\ d\,\ yyyy;@"/>
    <numFmt numFmtId="167" formatCode="0.00_ ;\-0.00\ "/>
    <numFmt numFmtId="168" formatCode="0.0000_ ;\-0.0000\ "/>
    <numFmt numFmtId="169" formatCode="#,##0.00_ ;\-#,##0.00\ "/>
    <numFmt numFmtId="170" formatCode="#,##0.0000_ ;\-#,##0.0000\ "/>
    <numFmt numFmtId="171" formatCode="0.0000"/>
    <numFmt numFmtId="172" formatCode="0.00000_ ;\-0.000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9" fillId="0" borderId="0"/>
  </cellStyleXfs>
  <cellXfs count="187">
    <xf numFmtId="0" fontId="0" fillId="0" borderId="0" xfId="0"/>
    <xf numFmtId="0" fontId="5" fillId="0" borderId="0" xfId="0" applyFont="1" applyAlignment="1">
      <alignment horizontal="right" vertical="top"/>
    </xf>
    <xf numFmtId="0" fontId="5" fillId="2" borderId="1" xfId="0" applyFont="1" applyFill="1" applyBorder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0" fontId="0" fillId="0" borderId="0" xfId="0" applyProtection="1"/>
    <xf numFmtId="0" fontId="10" fillId="3" borderId="0" xfId="0" applyFont="1" applyFill="1" applyAlignment="1" applyProtection="1">
      <alignment horizontal="center"/>
    </xf>
    <xf numFmtId="164" fontId="4" fillId="2" borderId="2" xfId="1" applyNumberFormat="1" applyFont="1" applyFill="1" applyBorder="1" applyProtection="1">
      <protection locked="0"/>
    </xf>
    <xf numFmtId="0" fontId="0" fillId="3" borderId="0" xfId="0" applyFill="1" applyAlignment="1" applyProtection="1">
      <alignment vertical="top"/>
      <protection locked="0"/>
    </xf>
    <xf numFmtId="165" fontId="0" fillId="2" borderId="9" xfId="2" applyNumberFormat="1" applyFont="1" applyFill="1" applyBorder="1" applyAlignment="1" applyProtection="1">
      <alignment vertical="top"/>
      <protection locked="0"/>
    </xf>
    <xf numFmtId="0" fontId="9" fillId="2" borderId="0" xfId="0" applyFont="1" applyFill="1" applyAlignment="1" applyProtection="1">
      <alignment vertical="top"/>
    </xf>
    <xf numFmtId="0" fontId="0" fillId="2" borderId="0" xfId="0" applyFill="1" applyAlignment="1" applyProtection="1">
      <alignment vertical="top"/>
    </xf>
    <xf numFmtId="0" fontId="9" fillId="2" borderId="0" xfId="0" applyFont="1" applyFill="1" applyAlignment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0" fillId="4" borderId="0" xfId="0" applyFill="1" applyAlignment="1" applyProtection="1">
      <alignment vertical="center"/>
    </xf>
    <xf numFmtId="165" fontId="0" fillId="4" borderId="2" xfId="2" applyNumberFormat="1" applyFont="1" applyFill="1" applyBorder="1" applyAlignment="1" applyProtection="1">
      <alignment vertical="center"/>
      <protection locked="0"/>
    </xf>
    <xf numFmtId="44" fontId="4" fillId="4" borderId="2" xfId="0" applyNumberFormat="1" applyFont="1" applyFill="1" applyBorder="1" applyAlignment="1" applyProtection="1">
      <alignment vertical="center"/>
    </xf>
    <xf numFmtId="10" fontId="4" fillId="4" borderId="5" xfId="3" applyNumberFormat="1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vertical="top" wrapText="1"/>
    </xf>
    <xf numFmtId="43" fontId="0" fillId="6" borderId="9" xfId="1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top" wrapText="1"/>
    </xf>
    <xf numFmtId="0" fontId="0" fillId="4" borderId="4" xfId="0" applyFill="1" applyBorder="1" applyProtection="1"/>
    <xf numFmtId="0" fontId="0" fillId="4" borderId="2" xfId="0" applyFill="1" applyBorder="1" applyProtection="1"/>
    <xf numFmtId="0" fontId="0" fillId="4" borderId="2" xfId="0" applyFill="1" applyBorder="1" applyAlignment="1" applyProtection="1">
      <alignment vertical="center"/>
    </xf>
    <xf numFmtId="44" fontId="4" fillId="4" borderId="5" xfId="0" applyNumberFormat="1" applyFont="1" applyFill="1" applyBorder="1" applyAlignment="1" applyProtection="1">
      <alignment vertical="center"/>
    </xf>
    <xf numFmtId="0" fontId="0" fillId="4" borderId="5" xfId="0" applyNumberFormat="1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4" fillId="4" borderId="2" xfId="0" applyFont="1" applyFill="1" applyBorder="1" applyAlignment="1" applyProtection="1">
      <alignment vertical="center"/>
    </xf>
    <xf numFmtId="1" fontId="9" fillId="5" borderId="9" xfId="0" applyNumberFormat="1" applyFont="1" applyFill="1" applyBorder="1" applyAlignment="1" applyProtection="1">
      <alignment vertical="center"/>
    </xf>
    <xf numFmtId="0" fontId="9" fillId="5" borderId="9" xfId="0" applyNumberFormat="1" applyFont="1" applyFill="1" applyBorder="1" applyAlignment="1" applyProtection="1">
      <alignment vertical="center"/>
    </xf>
    <xf numFmtId="166" fontId="9" fillId="3" borderId="0" xfId="4" applyFill="1" applyAlignment="1" applyProtection="1">
      <alignment vertical="top"/>
      <protection locked="0"/>
    </xf>
    <xf numFmtId="1" fontId="9" fillId="5" borderId="9" xfId="4" applyNumberFormat="1" applyFill="1" applyBorder="1" applyAlignment="1" applyProtection="1">
      <alignment vertical="center"/>
    </xf>
    <xf numFmtId="0" fontId="9" fillId="5" borderId="9" xfId="4" applyNumberFormat="1" applyFill="1" applyBorder="1" applyAlignment="1" applyProtection="1">
      <alignment vertical="center"/>
    </xf>
    <xf numFmtId="0" fontId="9" fillId="7" borderId="13" xfId="0" applyFont="1" applyFill="1" applyBorder="1" applyProtection="1"/>
    <xf numFmtId="0" fontId="0" fillId="7" borderId="14" xfId="0" applyFill="1" applyBorder="1" applyAlignment="1" applyProtection="1">
      <alignment vertical="top"/>
    </xf>
    <xf numFmtId="0" fontId="0" fillId="7" borderId="14" xfId="0" applyFill="1" applyBorder="1" applyAlignment="1" applyProtection="1">
      <alignment vertical="top"/>
      <protection locked="0"/>
    </xf>
    <xf numFmtId="165" fontId="1" fillId="7" borderId="15" xfId="2" applyNumberFormat="1" applyFill="1" applyBorder="1" applyAlignment="1" applyProtection="1">
      <alignment vertical="top"/>
      <protection locked="0"/>
    </xf>
    <xf numFmtId="0" fontId="0" fillId="7" borderId="16" xfId="0" applyFill="1" applyBorder="1" applyAlignment="1" applyProtection="1">
      <alignment vertical="center"/>
      <protection locked="0"/>
    </xf>
    <xf numFmtId="44" fontId="1" fillId="7" borderId="14" xfId="2" applyFill="1" applyBorder="1" applyAlignment="1" applyProtection="1">
      <alignment vertical="center"/>
    </xf>
    <xf numFmtId="0" fontId="0" fillId="7" borderId="14" xfId="0" applyFill="1" applyBorder="1" applyAlignment="1" applyProtection="1">
      <alignment vertical="center"/>
    </xf>
    <xf numFmtId="0" fontId="0" fillId="7" borderId="15" xfId="0" applyFill="1" applyBorder="1" applyAlignment="1" applyProtection="1">
      <alignment vertical="center"/>
      <protection locked="0"/>
    </xf>
    <xf numFmtId="44" fontId="0" fillId="7" borderId="15" xfId="0" applyNumberFormat="1" applyFill="1" applyBorder="1" applyAlignment="1" applyProtection="1">
      <alignment vertical="center"/>
    </xf>
    <xf numFmtId="10" fontId="1" fillId="7" borderId="17" xfId="3" applyNumberFormat="1" applyFill="1" applyBorder="1" applyAlignment="1" applyProtection="1">
      <alignment vertical="center"/>
    </xf>
    <xf numFmtId="0" fontId="0" fillId="8" borderId="0" xfId="0" applyFill="1" applyAlignment="1" applyProtection="1">
      <alignment vertical="top"/>
    </xf>
    <xf numFmtId="0" fontId="0" fillId="8" borderId="10" xfId="0" applyFill="1" applyBorder="1" applyAlignment="1" applyProtection="1">
      <alignment vertical="top"/>
    </xf>
    <xf numFmtId="0" fontId="0" fillId="8" borderId="18" xfId="0" applyFill="1" applyBorder="1" applyAlignment="1" applyProtection="1">
      <alignment vertical="center"/>
    </xf>
    <xf numFmtId="44" fontId="4" fillId="8" borderId="19" xfId="0" applyNumberFormat="1" applyFont="1" applyFill="1" applyBorder="1" applyAlignment="1" applyProtection="1">
      <alignment vertical="center"/>
    </xf>
    <xf numFmtId="0" fontId="4" fillId="8" borderId="10" xfId="0" applyFont="1" applyFill="1" applyBorder="1" applyAlignment="1" applyProtection="1">
      <alignment vertical="center"/>
    </xf>
    <xf numFmtId="44" fontId="4" fillId="8" borderId="11" xfId="0" applyNumberFormat="1" applyFont="1" applyFill="1" applyBorder="1" applyAlignment="1" applyProtection="1">
      <alignment vertical="center"/>
    </xf>
    <xf numFmtId="0" fontId="4" fillId="8" borderId="18" xfId="0" applyFont="1" applyFill="1" applyBorder="1" applyAlignment="1" applyProtection="1">
      <alignment vertical="center"/>
    </xf>
    <xf numFmtId="44" fontId="4" fillId="8" borderId="10" xfId="0" applyNumberFormat="1" applyFont="1" applyFill="1" applyBorder="1" applyAlignment="1" applyProtection="1">
      <alignment vertical="center"/>
    </xf>
    <xf numFmtId="10" fontId="4" fillId="8" borderId="11" xfId="3" applyNumberFormat="1" applyFont="1" applyFill="1" applyBorder="1" applyAlignment="1" applyProtection="1">
      <alignment vertical="center"/>
    </xf>
    <xf numFmtId="10" fontId="1" fillId="2" borderId="2" xfId="3" applyNumberFormat="1" applyFill="1" applyBorder="1" applyProtection="1">
      <protection locked="0"/>
    </xf>
    <xf numFmtId="0" fontId="3" fillId="5" borderId="0" xfId="0" applyFont="1" applyFill="1" applyAlignment="1" applyProtection="1">
      <alignment vertical="top" wrapText="1"/>
    </xf>
    <xf numFmtId="0" fontId="0" fillId="5" borderId="0" xfId="0" applyFill="1" applyBorder="1" applyProtection="1"/>
    <xf numFmtId="0" fontId="4" fillId="5" borderId="0" xfId="0" applyFont="1" applyFill="1"/>
    <xf numFmtId="0" fontId="5" fillId="5" borderId="0" xfId="0" applyFont="1" applyFill="1" applyAlignment="1">
      <alignment horizontal="right" vertical="top"/>
    </xf>
    <xf numFmtId="0" fontId="0" fillId="5" borderId="0" xfId="0" applyFill="1"/>
    <xf numFmtId="0" fontId="6" fillId="5" borderId="0" xfId="0" applyFont="1" applyFill="1" applyBorder="1" applyAlignment="1" applyProtection="1"/>
    <xf numFmtId="0" fontId="0" fillId="5" borderId="0" xfId="0" applyFill="1" applyBorder="1" applyAlignment="1" applyProtection="1">
      <alignment horizontal="left" indent="1"/>
    </xf>
    <xf numFmtId="0" fontId="7" fillId="5" borderId="0" xfId="0" applyFont="1" applyFill="1" applyBorder="1" applyAlignment="1" applyProtection="1"/>
    <xf numFmtId="0" fontId="0" fillId="5" borderId="0" xfId="0" applyFill="1" applyProtection="1"/>
    <xf numFmtId="0" fontId="4" fillId="5" borderId="0" xfId="0" applyFont="1" applyFill="1" applyAlignment="1" applyProtection="1">
      <alignment horizontal="right"/>
    </xf>
    <xf numFmtId="0" fontId="9" fillId="5" borderId="0" xfId="0" applyFont="1" applyFill="1" applyAlignment="1" applyProtection="1">
      <alignment horizontal="right"/>
    </xf>
    <xf numFmtId="0" fontId="7" fillId="5" borderId="0" xfId="0" applyFont="1" applyFill="1" applyAlignment="1" applyProtection="1">
      <alignment horizontal="center"/>
    </xf>
    <xf numFmtId="0" fontId="9" fillId="5" borderId="0" xfId="0" applyFont="1" applyFill="1" applyProtection="1"/>
    <xf numFmtId="0" fontId="4" fillId="5" borderId="0" xfId="0" applyFont="1" applyFill="1" applyProtection="1"/>
    <xf numFmtId="0" fontId="4" fillId="5" borderId="0" xfId="0" applyFont="1" applyFill="1" applyAlignment="1" applyProtection="1"/>
    <xf numFmtId="0" fontId="4" fillId="5" borderId="0" xfId="0" applyFont="1" applyFill="1" applyAlignment="1" applyProtection="1">
      <alignment horizontal="center"/>
    </xf>
    <xf numFmtId="0" fontId="4" fillId="5" borderId="6" xfId="0" applyFont="1" applyFill="1" applyBorder="1" applyAlignment="1" applyProtection="1">
      <alignment horizontal="center"/>
    </xf>
    <xf numFmtId="0" fontId="4" fillId="5" borderId="7" xfId="0" applyFont="1" applyFill="1" applyBorder="1" applyAlignment="1" applyProtection="1">
      <alignment horizontal="center"/>
    </xf>
    <xf numFmtId="0" fontId="4" fillId="5" borderId="8" xfId="0" applyFont="1" applyFill="1" applyBorder="1" applyAlignment="1" applyProtection="1">
      <alignment horizontal="center"/>
    </xf>
    <xf numFmtId="0" fontId="4" fillId="5" borderId="10" xfId="0" quotePrefix="1" applyFont="1" applyFill="1" applyBorder="1" applyAlignment="1" applyProtection="1">
      <alignment horizontal="center"/>
    </xf>
    <xf numFmtId="0" fontId="4" fillId="5" borderId="11" xfId="0" quotePrefix="1" applyFont="1" applyFill="1" applyBorder="1" applyAlignment="1" applyProtection="1">
      <alignment horizontal="center"/>
    </xf>
    <xf numFmtId="0" fontId="0" fillId="5" borderId="0" xfId="0" applyFill="1" applyAlignment="1" applyProtection="1">
      <alignment vertical="top"/>
    </xf>
    <xf numFmtId="43" fontId="0" fillId="5" borderId="9" xfId="1" applyFont="1" applyFill="1" applyBorder="1" applyAlignment="1" applyProtection="1">
      <alignment vertical="center"/>
    </xf>
    <xf numFmtId="44" fontId="0" fillId="5" borderId="7" xfId="2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0" fontId="0" fillId="5" borderId="7" xfId="0" applyNumberFormat="1" applyFill="1" applyBorder="1" applyAlignment="1" applyProtection="1">
      <alignment vertical="center"/>
    </xf>
    <xf numFmtId="44" fontId="0" fillId="5" borderId="9" xfId="0" applyNumberFormat="1" applyFill="1" applyBorder="1" applyAlignment="1" applyProtection="1">
      <alignment vertical="center"/>
    </xf>
    <xf numFmtId="10" fontId="0" fillId="5" borderId="7" xfId="3" applyNumberFormat="1" applyFont="1" applyFill="1" applyBorder="1" applyAlignment="1" applyProtection="1">
      <alignment vertical="center"/>
    </xf>
    <xf numFmtId="0" fontId="9" fillId="5" borderId="0" xfId="0" applyFont="1" applyFill="1" applyAlignment="1" applyProtection="1">
      <alignment vertical="top"/>
    </xf>
    <xf numFmtId="0" fontId="0" fillId="5" borderId="9" xfId="0" applyNumberFormat="1" applyFill="1" applyBorder="1" applyAlignment="1" applyProtection="1">
      <alignment vertical="center"/>
    </xf>
    <xf numFmtId="0" fontId="0" fillId="5" borderId="12" xfId="0" applyFill="1" applyBorder="1" applyAlignment="1" applyProtection="1">
      <alignment vertical="center"/>
    </xf>
    <xf numFmtId="0" fontId="0" fillId="5" borderId="9" xfId="0" applyFill="1" applyBorder="1" applyAlignment="1" applyProtection="1">
      <alignment vertical="center"/>
    </xf>
    <xf numFmtId="1" fontId="0" fillId="5" borderId="9" xfId="0" applyNumberFormat="1" applyFill="1" applyBorder="1" applyAlignment="1" applyProtection="1">
      <alignment vertical="center"/>
    </xf>
    <xf numFmtId="0" fontId="0" fillId="5" borderId="0" xfId="0" applyFill="1" applyAlignment="1" applyProtection="1">
      <alignment vertical="center" wrapText="1"/>
    </xf>
    <xf numFmtId="0" fontId="0" fillId="5" borderId="0" xfId="0" applyFill="1" applyAlignment="1" applyProtection="1">
      <alignment vertical="top" wrapText="1"/>
    </xf>
    <xf numFmtId="10" fontId="1" fillId="5" borderId="7" xfId="3" applyNumberFormat="1" applyFill="1" applyBorder="1" applyAlignment="1" applyProtection="1">
      <alignment vertical="center"/>
    </xf>
    <xf numFmtId="44" fontId="0" fillId="5" borderId="0" xfId="0" applyNumberFormat="1" applyFill="1" applyProtection="1"/>
    <xf numFmtId="166" fontId="9" fillId="5" borderId="0" xfId="4" applyFont="1" applyFill="1" applyAlignment="1" applyProtection="1">
      <alignment vertical="top"/>
    </xf>
    <xf numFmtId="166" fontId="9" fillId="5" borderId="0" xfId="4" applyFill="1" applyAlignment="1" applyProtection="1">
      <alignment vertical="top"/>
    </xf>
    <xf numFmtId="166" fontId="9" fillId="5" borderId="0" xfId="4" applyFill="1" applyAlignment="1" applyProtection="1">
      <alignment vertical="center"/>
    </xf>
    <xf numFmtId="166" fontId="9" fillId="5" borderId="0" xfId="4" applyFill="1" applyProtection="1"/>
    <xf numFmtId="0" fontId="4" fillId="5" borderId="0" xfId="0" applyFont="1" applyFill="1" applyAlignment="1" applyProtection="1">
      <alignment vertical="top"/>
    </xf>
    <xf numFmtId="9" fontId="0" fillId="5" borderId="9" xfId="0" applyNumberFormat="1" applyFill="1" applyBorder="1" applyAlignment="1" applyProtection="1">
      <alignment vertical="top"/>
    </xf>
    <xf numFmtId="9" fontId="0" fillId="5" borderId="0" xfId="0" applyNumberFormat="1" applyFill="1" applyBorder="1" applyAlignment="1" applyProtection="1">
      <alignment vertical="center"/>
    </xf>
    <xf numFmtId="0" fontId="4" fillId="5" borderId="9" xfId="0" applyFont="1" applyFill="1" applyBorder="1" applyAlignment="1" applyProtection="1">
      <alignment vertical="center"/>
    </xf>
    <xf numFmtId="9" fontId="4" fillId="5" borderId="9" xfId="0" applyNumberFormat="1" applyFont="1" applyFill="1" applyBorder="1" applyAlignment="1" applyProtection="1">
      <alignment vertical="center"/>
    </xf>
    <xf numFmtId="10" fontId="4" fillId="5" borderId="7" xfId="3" applyNumberFormat="1" applyFont="1" applyFill="1" applyBorder="1" applyAlignment="1" applyProtection="1">
      <alignment vertical="center"/>
    </xf>
    <xf numFmtId="0" fontId="9" fillId="5" borderId="0" xfId="0" applyFont="1" applyFill="1" applyAlignment="1" applyProtection="1">
      <alignment horizontal="left" vertical="top" indent="1"/>
    </xf>
    <xf numFmtId="9" fontId="0" fillId="5" borderId="9" xfId="0" applyNumberFormat="1" applyFill="1" applyBorder="1" applyAlignment="1" applyProtection="1">
      <alignment vertical="top"/>
      <protection locked="0"/>
    </xf>
    <xf numFmtId="0" fontId="0" fillId="5" borderId="0" xfId="0" applyFill="1" applyBorder="1" applyAlignment="1" applyProtection="1">
      <alignment vertical="center"/>
    </xf>
    <xf numFmtId="0" fontId="9" fillId="5" borderId="9" xfId="0" applyFont="1" applyFill="1" applyBorder="1" applyAlignment="1" applyProtection="1">
      <alignment vertical="center"/>
    </xf>
    <xf numFmtId="9" fontId="9" fillId="5" borderId="9" xfId="0" applyNumberFormat="1" applyFont="1" applyFill="1" applyBorder="1" applyAlignment="1" applyProtection="1">
      <alignment vertical="center"/>
      <protection locked="0"/>
    </xf>
    <xf numFmtId="10" fontId="9" fillId="5" borderId="7" xfId="3" applyNumberFormat="1" applyFont="1" applyFill="1" applyBorder="1" applyAlignment="1" applyProtection="1">
      <alignment vertical="center"/>
    </xf>
    <xf numFmtId="0" fontId="4" fillId="5" borderId="0" xfId="0" applyFont="1" applyFill="1" applyAlignment="1" applyProtection="1">
      <alignment horizontal="left" vertical="top" wrapText="1" indent="1"/>
    </xf>
    <xf numFmtId="0" fontId="0" fillId="5" borderId="9" xfId="0" applyFill="1" applyBorder="1" applyAlignment="1" applyProtection="1">
      <alignment vertical="top"/>
    </xf>
    <xf numFmtId="10" fontId="13" fillId="5" borderId="7" xfId="3" applyNumberFormat="1" applyFont="1" applyFill="1" applyBorder="1" applyAlignment="1" applyProtection="1">
      <alignment vertical="center"/>
    </xf>
    <xf numFmtId="166" fontId="4" fillId="5" borderId="0" xfId="4" applyFont="1" applyFill="1" applyAlignment="1" applyProtection="1">
      <alignment vertical="top"/>
    </xf>
    <xf numFmtId="9" fontId="9" fillId="5" borderId="9" xfId="4" applyNumberFormat="1" applyFill="1" applyBorder="1" applyAlignment="1" applyProtection="1">
      <alignment vertical="top"/>
    </xf>
    <xf numFmtId="9" fontId="9" fillId="5" borderId="0" xfId="4" applyNumberFormat="1" applyFill="1" applyBorder="1" applyAlignment="1" applyProtection="1">
      <alignment vertical="center"/>
    </xf>
    <xf numFmtId="166" fontId="4" fillId="5" borderId="9" xfId="4" applyFont="1" applyFill="1" applyBorder="1" applyAlignment="1" applyProtection="1">
      <alignment vertical="center"/>
    </xf>
    <xf numFmtId="9" fontId="4" fillId="5" borderId="9" xfId="4" applyNumberFormat="1" applyFont="1" applyFill="1" applyBorder="1" applyAlignment="1" applyProtection="1">
      <alignment vertical="center"/>
    </xf>
    <xf numFmtId="166" fontId="9" fillId="5" borderId="0" xfId="4" applyFont="1" applyFill="1" applyAlignment="1" applyProtection="1">
      <alignment horizontal="left" vertical="top" indent="1"/>
    </xf>
    <xf numFmtId="9" fontId="9" fillId="5" borderId="9" xfId="4" applyNumberFormat="1" applyFill="1" applyBorder="1" applyAlignment="1" applyProtection="1">
      <alignment vertical="top"/>
      <protection locked="0"/>
    </xf>
    <xf numFmtId="166" fontId="9" fillId="5" borderId="9" xfId="4" applyFont="1" applyFill="1" applyBorder="1" applyAlignment="1" applyProtection="1">
      <alignment vertical="center"/>
    </xf>
    <xf numFmtId="9" fontId="9" fillId="5" borderId="9" xfId="4" applyNumberFormat="1" applyFont="1" applyFill="1" applyBorder="1" applyAlignment="1" applyProtection="1">
      <alignment vertical="top"/>
      <protection locked="0"/>
    </xf>
    <xf numFmtId="9" fontId="9" fillId="5" borderId="9" xfId="4" applyNumberFormat="1" applyFont="1" applyFill="1" applyBorder="1" applyAlignment="1" applyProtection="1">
      <alignment vertical="center"/>
    </xf>
    <xf numFmtId="166" fontId="4" fillId="5" borderId="0" xfId="4" applyFont="1" applyFill="1" applyAlignment="1" applyProtection="1">
      <alignment horizontal="left" vertical="top" wrapText="1" indent="1"/>
    </xf>
    <xf numFmtId="166" fontId="9" fillId="5" borderId="9" xfId="4" applyFill="1" applyBorder="1" applyAlignment="1" applyProtection="1">
      <alignment vertical="top"/>
    </xf>
    <xf numFmtId="166" fontId="9" fillId="5" borderId="0" xfId="4" applyFill="1" applyBorder="1" applyAlignment="1" applyProtection="1">
      <alignment vertical="center"/>
    </xf>
    <xf numFmtId="0" fontId="14" fillId="5" borderId="0" xfId="0" applyFont="1" applyFill="1" applyProtection="1"/>
    <xf numFmtId="44" fontId="1" fillId="7" borderId="16" xfId="2" applyFill="1" applyBorder="1" applyAlignment="1" applyProtection="1">
      <alignment vertical="center"/>
    </xf>
    <xf numFmtId="0" fontId="0" fillId="7" borderId="16" xfId="0" applyFill="1" applyBorder="1" applyAlignment="1" applyProtection="1">
      <alignment vertical="center"/>
    </xf>
    <xf numFmtId="0" fontId="0" fillId="7" borderId="15" xfId="0" applyFill="1" applyBorder="1" applyAlignment="1" applyProtection="1">
      <alignment vertical="top"/>
      <protection locked="0"/>
    </xf>
    <xf numFmtId="0" fontId="18" fillId="5" borderId="0" xfId="0" applyFont="1" applyFill="1" applyBorder="1" applyProtection="1"/>
    <xf numFmtId="0" fontId="18" fillId="5" borderId="0" xfId="0" applyFont="1" applyFill="1" applyProtection="1"/>
    <xf numFmtId="44" fontId="18" fillId="5" borderId="0" xfId="0" applyNumberFormat="1" applyFont="1" applyFill="1" applyProtection="1"/>
    <xf numFmtId="166" fontId="9" fillId="5" borderId="0" xfId="4" applyFont="1" applyFill="1" applyProtection="1"/>
    <xf numFmtId="44" fontId="0" fillId="2" borderId="9" xfId="2" applyNumberFormat="1" applyFont="1" applyFill="1" applyBorder="1" applyAlignment="1" applyProtection="1">
      <alignment vertical="top"/>
      <protection locked="0"/>
    </xf>
    <xf numFmtId="167" fontId="9" fillId="2" borderId="9" xfId="2" applyNumberFormat="1" applyFont="1" applyFill="1" applyBorder="1" applyAlignment="1" applyProtection="1">
      <alignment vertical="top"/>
      <protection locked="0"/>
    </xf>
    <xf numFmtId="167" fontId="0" fillId="2" borderId="9" xfId="2" applyNumberFormat="1" applyFont="1" applyFill="1" applyBorder="1" applyAlignment="1" applyProtection="1">
      <alignment vertical="top"/>
      <protection locked="0"/>
    </xf>
    <xf numFmtId="168" fontId="0" fillId="2" borderId="9" xfId="2" applyNumberFormat="1" applyFont="1" applyFill="1" applyBorder="1" applyAlignment="1" applyProtection="1">
      <alignment vertical="top"/>
      <protection locked="0"/>
    </xf>
    <xf numFmtId="169" fontId="9" fillId="2" borderId="9" xfId="2" applyNumberFormat="1" applyFont="1" applyFill="1" applyBorder="1" applyAlignment="1" applyProtection="1">
      <alignment vertical="top"/>
      <protection locked="0"/>
    </xf>
    <xf numFmtId="169" fontId="0" fillId="2" borderId="9" xfId="2" applyNumberFormat="1" applyFont="1" applyFill="1" applyBorder="1" applyAlignment="1" applyProtection="1">
      <alignment vertical="top"/>
      <protection locked="0"/>
    </xf>
    <xf numFmtId="170" fontId="0" fillId="2" borderId="9" xfId="2" applyNumberFormat="1" applyFont="1" applyFill="1" applyBorder="1" applyAlignment="1" applyProtection="1">
      <alignment vertical="top"/>
      <protection locked="0"/>
    </xf>
    <xf numFmtId="2" fontId="0" fillId="5" borderId="7" xfId="2" applyNumberFormat="1" applyFont="1" applyFill="1" applyBorder="1" applyAlignment="1" applyProtection="1">
      <alignment vertical="center"/>
    </xf>
    <xf numFmtId="2" fontId="0" fillId="5" borderId="9" xfId="0" applyNumberFormat="1" applyFill="1" applyBorder="1" applyAlignment="1" applyProtection="1">
      <alignment vertical="center"/>
    </xf>
    <xf numFmtId="171" fontId="0" fillId="5" borderId="9" xfId="2" applyNumberFormat="1" applyFont="1" applyFill="1" applyBorder="1" applyAlignment="1" applyProtection="1">
      <alignment vertical="top"/>
      <protection locked="0"/>
    </xf>
    <xf numFmtId="2" fontId="1" fillId="5" borderId="7" xfId="2" applyNumberFormat="1" applyFill="1" applyBorder="1" applyAlignment="1" applyProtection="1">
      <alignment vertical="center"/>
    </xf>
    <xf numFmtId="2" fontId="9" fillId="5" borderId="9" xfId="4" applyNumberFormat="1" applyFill="1" applyBorder="1" applyAlignment="1" applyProtection="1">
      <alignment vertical="center"/>
    </xf>
    <xf numFmtId="2" fontId="4" fillId="5" borderId="12" xfId="0" applyNumberFormat="1" applyFont="1" applyFill="1" applyBorder="1" applyAlignment="1" applyProtection="1">
      <alignment vertical="center"/>
    </xf>
    <xf numFmtId="2" fontId="9" fillId="5" borderId="12" xfId="0" applyNumberFormat="1" applyFont="1" applyFill="1" applyBorder="1" applyAlignment="1" applyProtection="1">
      <alignment vertical="center"/>
    </xf>
    <xf numFmtId="2" fontId="13" fillId="5" borderId="12" xfId="0" applyNumberFormat="1" applyFont="1" applyFill="1" applyBorder="1" applyAlignment="1" applyProtection="1">
      <alignment vertical="center"/>
    </xf>
    <xf numFmtId="2" fontId="4" fillId="5" borderId="20" xfId="0" applyNumberFormat="1" applyFont="1" applyFill="1" applyBorder="1" applyAlignment="1" applyProtection="1">
      <alignment vertical="center"/>
    </xf>
    <xf numFmtId="2" fontId="4" fillId="5" borderId="0" xfId="0" applyNumberFormat="1" applyFont="1" applyFill="1" applyBorder="1" applyAlignment="1" applyProtection="1">
      <alignment vertical="center"/>
    </xf>
    <xf numFmtId="2" fontId="4" fillId="5" borderId="9" xfId="0" applyNumberFormat="1" applyFont="1" applyFill="1" applyBorder="1" applyAlignment="1" applyProtection="1">
      <alignment vertical="center"/>
    </xf>
    <xf numFmtId="2" fontId="9" fillId="5" borderId="7" xfId="0" applyNumberFormat="1" applyFont="1" applyFill="1" applyBorder="1" applyAlignment="1" applyProtection="1">
      <alignment vertical="center"/>
    </xf>
    <xf numFmtId="2" fontId="9" fillId="5" borderId="0" xfId="0" applyNumberFormat="1" applyFont="1" applyFill="1" applyBorder="1" applyAlignment="1" applyProtection="1">
      <alignment vertical="center"/>
    </xf>
    <xf numFmtId="2" fontId="9" fillId="5" borderId="9" xfId="0" applyNumberFormat="1" applyFont="1" applyFill="1" applyBorder="1" applyAlignment="1" applyProtection="1">
      <alignment vertical="center"/>
    </xf>
    <xf numFmtId="2" fontId="13" fillId="5" borderId="7" xfId="0" applyNumberFormat="1" applyFont="1" applyFill="1" applyBorder="1" applyAlignment="1" applyProtection="1">
      <alignment vertical="center"/>
    </xf>
    <xf numFmtId="2" fontId="13" fillId="5" borderId="9" xfId="0" applyNumberFormat="1" applyFont="1" applyFill="1" applyBorder="1" applyAlignment="1" applyProtection="1">
      <alignment vertical="center"/>
    </xf>
    <xf numFmtId="2" fontId="4" fillId="5" borderId="12" xfId="4" applyNumberFormat="1" applyFont="1" applyFill="1" applyBorder="1" applyAlignment="1" applyProtection="1">
      <alignment vertical="center"/>
    </xf>
    <xf numFmtId="2" fontId="9" fillId="5" borderId="12" xfId="4" applyNumberFormat="1" applyFont="1" applyFill="1" applyBorder="1" applyAlignment="1" applyProtection="1">
      <alignment vertical="center"/>
    </xf>
    <xf numFmtId="2" fontId="13" fillId="5" borderId="12" xfId="4" applyNumberFormat="1" applyFont="1" applyFill="1" applyBorder="1" applyAlignment="1" applyProtection="1">
      <alignment vertical="center"/>
    </xf>
    <xf numFmtId="2" fontId="4" fillId="5" borderId="20" xfId="4" applyNumberFormat="1" applyFont="1" applyFill="1" applyBorder="1" applyAlignment="1" applyProtection="1">
      <alignment vertical="center"/>
    </xf>
    <xf numFmtId="2" fontId="4" fillId="5" borderId="0" xfId="4" applyNumberFormat="1" applyFont="1" applyFill="1" applyBorder="1" applyAlignment="1" applyProtection="1">
      <alignment vertical="center"/>
    </xf>
    <xf numFmtId="2" fontId="4" fillId="5" borderId="9" xfId="4" applyNumberFormat="1" applyFont="1" applyFill="1" applyBorder="1" applyAlignment="1" applyProtection="1">
      <alignment vertical="center"/>
    </xf>
    <xf numFmtId="2" fontId="9" fillId="5" borderId="7" xfId="4" applyNumberFormat="1" applyFont="1" applyFill="1" applyBorder="1" applyAlignment="1" applyProtection="1">
      <alignment vertical="center"/>
    </xf>
    <xf numFmtId="2" fontId="9" fillId="5" borderId="0" xfId="4" applyNumberFormat="1" applyFont="1" applyFill="1" applyBorder="1" applyAlignment="1" applyProtection="1">
      <alignment vertical="center"/>
    </xf>
    <xf numFmtId="2" fontId="9" fillId="5" borderId="9" xfId="4" applyNumberFormat="1" applyFont="1" applyFill="1" applyBorder="1" applyAlignment="1" applyProtection="1">
      <alignment vertical="center"/>
    </xf>
    <xf numFmtId="2" fontId="13" fillId="5" borderId="7" xfId="4" applyNumberFormat="1" applyFont="1" applyFill="1" applyBorder="1" applyAlignment="1" applyProtection="1">
      <alignment vertical="center"/>
    </xf>
    <xf numFmtId="2" fontId="13" fillId="5" borderId="9" xfId="4" applyNumberFormat="1" applyFont="1" applyFill="1" applyBorder="1" applyAlignment="1" applyProtection="1">
      <alignment vertical="center"/>
    </xf>
    <xf numFmtId="164" fontId="0" fillId="5" borderId="9" xfId="1" applyNumberFormat="1" applyFont="1" applyFill="1" applyBorder="1" applyAlignment="1" applyProtection="1">
      <alignment vertical="center"/>
    </xf>
    <xf numFmtId="164" fontId="0" fillId="4" borderId="2" xfId="0" applyNumberFormat="1" applyFill="1" applyBorder="1" applyAlignment="1" applyProtection="1">
      <alignment vertical="center"/>
    </xf>
    <xf numFmtId="164" fontId="0" fillId="6" borderId="9" xfId="1" applyNumberFormat="1" applyFont="1" applyFill="1" applyBorder="1" applyAlignment="1" applyProtection="1">
      <alignment vertical="center"/>
    </xf>
    <xf numFmtId="164" fontId="0" fillId="4" borderId="5" xfId="0" applyNumberFormat="1" applyFill="1" applyBorder="1" applyAlignment="1" applyProtection="1">
      <alignment vertical="center"/>
    </xf>
    <xf numFmtId="164" fontId="0" fillId="5" borderId="9" xfId="0" applyNumberFormat="1" applyFill="1" applyBorder="1" applyAlignment="1" applyProtection="1">
      <alignment vertical="center"/>
    </xf>
    <xf numFmtId="2" fontId="0" fillId="5" borderId="6" xfId="2" applyNumberFormat="1" applyFont="1" applyFill="1" applyBorder="1" applyAlignment="1" applyProtection="1">
      <alignment vertical="center"/>
    </xf>
    <xf numFmtId="2" fontId="0" fillId="5" borderId="10" xfId="2" applyNumberFormat="1" applyFont="1" applyFill="1" applyBorder="1" applyAlignment="1" applyProtection="1">
      <alignment vertical="center"/>
    </xf>
    <xf numFmtId="43" fontId="0" fillId="5" borderId="7" xfId="1" applyFont="1" applyFill="1" applyBorder="1" applyAlignment="1" applyProtection="1">
      <alignment vertical="center"/>
    </xf>
    <xf numFmtId="172" fontId="0" fillId="2" borderId="9" xfId="2" applyNumberFormat="1" applyFont="1" applyFill="1" applyBorder="1" applyAlignment="1" applyProtection="1">
      <alignment vertical="top"/>
      <protection locked="0"/>
    </xf>
    <xf numFmtId="0" fontId="11" fillId="5" borderId="0" xfId="0" applyFont="1" applyFill="1" applyAlignment="1" applyProtection="1">
      <alignment horizontal="left" vertical="top" wrapText="1" indent="1"/>
    </xf>
    <xf numFmtId="0" fontId="4" fillId="8" borderId="0" xfId="0" applyFont="1" applyFill="1" applyAlignment="1" applyProtection="1">
      <alignment horizontal="left" vertical="top" wrapText="1"/>
    </xf>
    <xf numFmtId="166" fontId="11" fillId="5" borderId="0" xfId="4" applyFont="1" applyFill="1" applyAlignment="1" applyProtection="1">
      <alignment horizontal="left" vertical="top" wrapText="1" indent="1"/>
    </xf>
    <xf numFmtId="0" fontId="8" fillId="5" borderId="0" xfId="0" applyFont="1" applyFill="1" applyAlignment="1" applyProtection="1">
      <alignment horizontal="center"/>
    </xf>
    <xf numFmtId="0" fontId="4" fillId="5" borderId="3" xfId="0" applyFont="1" applyFill="1" applyBorder="1" applyAlignment="1" applyProtection="1">
      <alignment horizontal="center"/>
    </xf>
    <xf numFmtId="0" fontId="4" fillId="5" borderId="4" xfId="0" applyFont="1" applyFill="1" applyBorder="1" applyAlignment="1" applyProtection="1">
      <alignment horizontal="center"/>
    </xf>
    <xf numFmtId="0" fontId="4" fillId="5" borderId="5" xfId="0" applyFont="1" applyFill="1" applyBorder="1" applyAlignment="1" applyProtection="1">
      <alignment horizontal="center"/>
    </xf>
    <xf numFmtId="0" fontId="4" fillId="5" borderId="0" xfId="0" applyFont="1" applyFill="1" applyAlignment="1" applyProtection="1">
      <alignment horizontal="center" wrapText="1"/>
    </xf>
    <xf numFmtId="0" fontId="0" fillId="5" borderId="0" xfId="0" applyFill="1" applyAlignment="1">
      <alignment horizontal="center" wrapText="1"/>
    </xf>
    <xf numFmtId="0" fontId="4" fillId="5" borderId="9" xfId="0" applyFont="1" applyFill="1" applyBorder="1" applyAlignment="1" applyProtection="1">
      <alignment horizontal="center" wrapText="1"/>
    </xf>
    <xf numFmtId="0" fontId="0" fillId="5" borderId="10" xfId="0" applyFill="1" applyBorder="1" applyAlignment="1">
      <alignment wrapText="1"/>
    </xf>
    <xf numFmtId="0" fontId="4" fillId="5" borderId="7" xfId="0" applyFont="1" applyFill="1" applyBorder="1" applyAlignment="1" applyProtection="1">
      <alignment horizontal="center" wrapText="1"/>
    </xf>
    <xf numFmtId="0" fontId="0" fillId="5" borderId="11" xfId="0" applyFill="1" applyBorder="1" applyAlignment="1">
      <alignment wrapText="1"/>
    </xf>
    <xf numFmtId="0" fontId="7" fillId="2" borderId="0" xfId="0" applyFont="1" applyFill="1" applyAlignment="1" applyProtection="1">
      <alignment horizontal="left" vertical="center"/>
    </xf>
    <xf numFmtId="0" fontId="6" fillId="5" borderId="0" xfId="0" applyFont="1" applyFill="1" applyBorder="1" applyAlignment="1" applyProtection="1">
      <alignment horizontal="left" indent="7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checked="Checked" firstButton="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firstButton="1" fmlaLink="$T$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firstButton="1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checked="Checked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checked="Checked" firstButton="1" fmlaLink="$T$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checked="Checked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480060</xdr:colOff>
          <xdr:row>16</xdr:row>
          <xdr:rowOff>175260</xdr:rowOff>
        </xdr:from>
        <xdr:to>
          <xdr:col>9</xdr:col>
          <xdr:colOff>60960</xdr:colOff>
          <xdr:row>18</xdr:row>
          <xdr:rowOff>22860</xdr:rowOff>
        </xdr:to>
        <xdr:sp macro="" textlink="">
          <xdr:nvSpPr>
            <xdr:cNvPr id="2067" name="Option Button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</xdr:row>
          <xdr:rowOff>114300</xdr:rowOff>
        </xdr:from>
        <xdr:to>
          <xdr:col>16</xdr:col>
          <xdr:colOff>30480</xdr:colOff>
          <xdr:row>18</xdr:row>
          <xdr:rowOff>121920</xdr:rowOff>
        </xdr:to>
        <xdr:sp macro="" textlink="">
          <xdr:nvSpPr>
            <xdr:cNvPr id="2068" name="Option Button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480060</xdr:colOff>
          <xdr:row>91</xdr:row>
          <xdr:rowOff>175260</xdr:rowOff>
        </xdr:from>
        <xdr:to>
          <xdr:col>9</xdr:col>
          <xdr:colOff>60960</xdr:colOff>
          <xdr:row>93</xdr:row>
          <xdr:rowOff>22860</xdr:rowOff>
        </xdr:to>
        <xdr:sp macro="" textlink="">
          <xdr:nvSpPr>
            <xdr:cNvPr id="2069" name="Option Button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91</xdr:row>
          <xdr:rowOff>114300</xdr:rowOff>
        </xdr:from>
        <xdr:to>
          <xdr:col>16</xdr:col>
          <xdr:colOff>30480</xdr:colOff>
          <xdr:row>93</xdr:row>
          <xdr:rowOff>114300</xdr:rowOff>
        </xdr:to>
        <xdr:sp macro="" textlink="">
          <xdr:nvSpPr>
            <xdr:cNvPr id="2070" name="Option Butto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480060</xdr:colOff>
          <xdr:row>165</xdr:row>
          <xdr:rowOff>175260</xdr:rowOff>
        </xdr:from>
        <xdr:to>
          <xdr:col>9</xdr:col>
          <xdr:colOff>60960</xdr:colOff>
          <xdr:row>167</xdr:row>
          <xdr:rowOff>22860</xdr:rowOff>
        </xdr:to>
        <xdr:sp macro="" textlink="">
          <xdr:nvSpPr>
            <xdr:cNvPr id="2085" name="Option Button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165</xdr:row>
          <xdr:rowOff>114300</xdr:rowOff>
        </xdr:from>
        <xdr:to>
          <xdr:col>16</xdr:col>
          <xdr:colOff>30480</xdr:colOff>
          <xdr:row>167</xdr:row>
          <xdr:rowOff>121920</xdr:rowOff>
        </xdr:to>
        <xdr:sp macro="" textlink="">
          <xdr:nvSpPr>
            <xdr:cNvPr id="2086" name="Option Button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480060</xdr:colOff>
          <xdr:row>239</xdr:row>
          <xdr:rowOff>175260</xdr:rowOff>
        </xdr:from>
        <xdr:to>
          <xdr:col>9</xdr:col>
          <xdr:colOff>60960</xdr:colOff>
          <xdr:row>241</xdr:row>
          <xdr:rowOff>22860</xdr:rowOff>
        </xdr:to>
        <xdr:sp macro="" textlink="">
          <xdr:nvSpPr>
            <xdr:cNvPr id="2101" name="Option Button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239</xdr:row>
          <xdr:rowOff>114300</xdr:rowOff>
        </xdr:from>
        <xdr:to>
          <xdr:col>16</xdr:col>
          <xdr:colOff>30480</xdr:colOff>
          <xdr:row>241</xdr:row>
          <xdr:rowOff>121920</xdr:rowOff>
        </xdr:to>
        <xdr:sp macro="" textlink="">
          <xdr:nvSpPr>
            <xdr:cNvPr id="2102" name="Option Button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480060</xdr:colOff>
          <xdr:row>313</xdr:row>
          <xdr:rowOff>175260</xdr:rowOff>
        </xdr:from>
        <xdr:to>
          <xdr:col>9</xdr:col>
          <xdr:colOff>60960</xdr:colOff>
          <xdr:row>315</xdr:row>
          <xdr:rowOff>22860</xdr:rowOff>
        </xdr:to>
        <xdr:sp macro="" textlink="">
          <xdr:nvSpPr>
            <xdr:cNvPr id="2117" name="Option Button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313</xdr:row>
          <xdr:rowOff>114300</xdr:rowOff>
        </xdr:from>
        <xdr:to>
          <xdr:col>16</xdr:col>
          <xdr:colOff>30480</xdr:colOff>
          <xdr:row>315</xdr:row>
          <xdr:rowOff>121920</xdr:rowOff>
        </xdr:to>
        <xdr:sp macro="" textlink="">
          <xdr:nvSpPr>
            <xdr:cNvPr id="2118" name="Option Button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480060</xdr:colOff>
          <xdr:row>387</xdr:row>
          <xdr:rowOff>175260</xdr:rowOff>
        </xdr:from>
        <xdr:to>
          <xdr:col>9</xdr:col>
          <xdr:colOff>60960</xdr:colOff>
          <xdr:row>389</xdr:row>
          <xdr:rowOff>22860</xdr:rowOff>
        </xdr:to>
        <xdr:sp macro="" textlink="">
          <xdr:nvSpPr>
            <xdr:cNvPr id="2133" name="Option Button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387</xdr:row>
          <xdr:rowOff>114300</xdr:rowOff>
        </xdr:from>
        <xdr:to>
          <xdr:col>16</xdr:col>
          <xdr:colOff>30480</xdr:colOff>
          <xdr:row>389</xdr:row>
          <xdr:rowOff>121920</xdr:rowOff>
        </xdr:to>
        <xdr:sp macro="" textlink="">
          <xdr:nvSpPr>
            <xdr:cNvPr id="2134" name="Option Button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480060</xdr:colOff>
          <xdr:row>461</xdr:row>
          <xdr:rowOff>175260</xdr:rowOff>
        </xdr:from>
        <xdr:to>
          <xdr:col>9</xdr:col>
          <xdr:colOff>60960</xdr:colOff>
          <xdr:row>463</xdr:row>
          <xdr:rowOff>22860</xdr:rowOff>
        </xdr:to>
        <xdr:sp macro="" textlink="">
          <xdr:nvSpPr>
            <xdr:cNvPr id="2149" name="Option Button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461</xdr:row>
          <xdr:rowOff>114300</xdr:rowOff>
        </xdr:from>
        <xdr:to>
          <xdr:col>16</xdr:col>
          <xdr:colOff>30480</xdr:colOff>
          <xdr:row>463</xdr:row>
          <xdr:rowOff>121920</xdr:rowOff>
        </xdr:to>
        <xdr:sp macro="" textlink="">
          <xdr:nvSpPr>
            <xdr:cNvPr id="2150" name="Option Button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861060</xdr:colOff>
          <xdr:row>16</xdr:row>
          <xdr:rowOff>190500</xdr:rowOff>
        </xdr:from>
        <xdr:to>
          <xdr:col>8</xdr:col>
          <xdr:colOff>45720</xdr:colOff>
          <xdr:row>17</xdr:row>
          <xdr:rowOff>99060</xdr:rowOff>
        </xdr:to>
        <xdr:sp macro="" textlink="">
          <xdr:nvSpPr>
            <xdr:cNvPr id="5287" name="Option Button 167" hidden="1">
              <a:extLst>
                <a:ext uri="{63B3BB69-23CF-44E3-9099-C40C66FF867C}">
                  <a14:compatExt spid="_x0000_s5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16</xdr:row>
          <xdr:rowOff>152400</xdr:rowOff>
        </xdr:from>
        <xdr:to>
          <xdr:col>14</xdr:col>
          <xdr:colOff>815340</xdr:colOff>
          <xdr:row>17</xdr:row>
          <xdr:rowOff>137160</xdr:rowOff>
        </xdr:to>
        <xdr:sp macro="" textlink="">
          <xdr:nvSpPr>
            <xdr:cNvPr id="5288" name="Option Button 168" hidden="1">
              <a:extLst>
                <a:ext uri="{63B3BB69-23CF-44E3-9099-C40C66FF867C}">
                  <a14:compatExt spid="_x0000_s5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632460</xdr:colOff>
          <xdr:row>13</xdr:row>
          <xdr:rowOff>182880</xdr:rowOff>
        </xdr:from>
        <xdr:to>
          <xdr:col>8</xdr:col>
          <xdr:colOff>22860</xdr:colOff>
          <xdr:row>16</xdr:row>
          <xdr:rowOff>38100</xdr:rowOff>
        </xdr:to>
        <xdr:sp macro="" textlink="">
          <xdr:nvSpPr>
            <xdr:cNvPr id="6268" name="Option Button 124" hidden="1">
              <a:extLst>
                <a:ext uri="{63B3BB69-23CF-44E3-9099-C40C66FF867C}">
                  <a14:compatExt spid="_x0000_s6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556260</xdr:colOff>
          <xdr:row>14</xdr:row>
          <xdr:rowOff>30480</xdr:rowOff>
        </xdr:from>
        <xdr:to>
          <xdr:col>13</xdr:col>
          <xdr:colOff>419100</xdr:colOff>
          <xdr:row>16</xdr:row>
          <xdr:rowOff>0</xdr:rowOff>
        </xdr:to>
        <xdr:sp macro="" textlink="">
          <xdr:nvSpPr>
            <xdr:cNvPr id="6272" name="Option Button 128" hidden="1">
              <a:extLst>
                <a:ext uri="{63B3BB69-23CF-44E3-9099-C40C66FF867C}">
                  <a14:compatExt spid="_x0000_s6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2880360</xdr:colOff>
          <xdr:row>46</xdr:row>
          <xdr:rowOff>38100</xdr:rowOff>
        </xdr:from>
        <xdr:to>
          <xdr:col>2</xdr:col>
          <xdr:colOff>68580</xdr:colOff>
          <xdr:row>46</xdr:row>
          <xdr:rowOff>114300</xdr:rowOff>
        </xdr:to>
        <xdr:sp macro="" textlink="">
          <xdr:nvSpPr>
            <xdr:cNvPr id="13317" name="Option Button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2270760</xdr:colOff>
          <xdr:row>46</xdr:row>
          <xdr:rowOff>30480</xdr:rowOff>
        </xdr:from>
        <xdr:to>
          <xdr:col>1</xdr:col>
          <xdr:colOff>2743200</xdr:colOff>
          <xdr:row>46</xdr:row>
          <xdr:rowOff>144780</xdr:rowOff>
        </xdr:to>
        <xdr:sp macro="" textlink="">
          <xdr:nvSpPr>
            <xdr:cNvPr id="13387" name="Option Button 75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601980</xdr:colOff>
          <xdr:row>15</xdr:row>
          <xdr:rowOff>0</xdr:rowOff>
        </xdr:from>
        <xdr:to>
          <xdr:col>7</xdr:col>
          <xdr:colOff>289560</xdr:colOff>
          <xdr:row>16</xdr:row>
          <xdr:rowOff>106680</xdr:rowOff>
        </xdr:to>
        <xdr:sp macro="" textlink="">
          <xdr:nvSpPr>
            <xdr:cNvPr id="13388" name="Option Button 76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350520</xdr:colOff>
          <xdr:row>15</xdr:row>
          <xdr:rowOff>0</xdr:rowOff>
        </xdr:from>
        <xdr:to>
          <xdr:col>14</xdr:col>
          <xdr:colOff>632460</xdr:colOff>
          <xdr:row>16</xdr:row>
          <xdr:rowOff>129540</xdr:rowOff>
        </xdr:to>
        <xdr:sp macro="" textlink="">
          <xdr:nvSpPr>
            <xdr:cNvPr id="13389" name="Option Button 77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701040</xdr:colOff>
          <xdr:row>15</xdr:row>
          <xdr:rowOff>7620</xdr:rowOff>
        </xdr:from>
        <xdr:to>
          <xdr:col>7</xdr:col>
          <xdr:colOff>358140</xdr:colOff>
          <xdr:row>16</xdr:row>
          <xdr:rowOff>0</xdr:rowOff>
        </xdr:to>
        <xdr:sp macro="" textlink="">
          <xdr:nvSpPr>
            <xdr:cNvPr id="8287" name="Option Button 95" hidden="1">
              <a:extLst>
                <a:ext uri="{63B3BB69-23CF-44E3-9099-C40C66FF867C}">
                  <a14:compatExt spid="_x0000_s8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487680</xdr:colOff>
          <xdr:row>15</xdr:row>
          <xdr:rowOff>0</xdr:rowOff>
        </xdr:from>
        <xdr:to>
          <xdr:col>14</xdr:col>
          <xdr:colOff>746760</xdr:colOff>
          <xdr:row>16</xdr:row>
          <xdr:rowOff>0</xdr:rowOff>
        </xdr:to>
        <xdr:sp macro="" textlink="">
          <xdr:nvSpPr>
            <xdr:cNvPr id="8288" name="Option Button 96" hidden="1">
              <a:extLst>
                <a:ext uri="{63B3BB69-23CF-44E3-9099-C40C66FF867C}">
                  <a14:compatExt spid="_x0000_s8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563880</xdr:colOff>
          <xdr:row>15</xdr:row>
          <xdr:rowOff>7620</xdr:rowOff>
        </xdr:from>
        <xdr:to>
          <xdr:col>7</xdr:col>
          <xdr:colOff>388620</xdr:colOff>
          <xdr:row>16</xdr:row>
          <xdr:rowOff>7620</xdr:rowOff>
        </xdr:to>
        <xdr:sp macro="" textlink="">
          <xdr:nvSpPr>
            <xdr:cNvPr id="19473" name="Option Button 17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15</xdr:row>
          <xdr:rowOff>0</xdr:rowOff>
        </xdr:from>
        <xdr:to>
          <xdr:col>14</xdr:col>
          <xdr:colOff>670560</xdr:colOff>
          <xdr:row>16</xdr:row>
          <xdr:rowOff>68580</xdr:rowOff>
        </xdr:to>
        <xdr:sp macro="" textlink="">
          <xdr:nvSpPr>
            <xdr:cNvPr id="19474" name="Option Button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1287780</xdr:colOff>
          <xdr:row>24</xdr:row>
          <xdr:rowOff>137160</xdr:rowOff>
        </xdr:from>
        <xdr:to>
          <xdr:col>1</xdr:col>
          <xdr:colOff>1470660</xdr:colOff>
          <xdr:row>24</xdr:row>
          <xdr:rowOff>160020</xdr:rowOff>
        </xdr:to>
        <xdr:sp macro="" textlink="">
          <xdr:nvSpPr>
            <xdr:cNvPr id="10263" name="Option Button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365760</xdr:colOff>
          <xdr:row>46</xdr:row>
          <xdr:rowOff>99060</xdr:rowOff>
        </xdr:from>
        <xdr:to>
          <xdr:col>6</xdr:col>
          <xdr:colOff>807720</xdr:colOff>
          <xdr:row>47</xdr:row>
          <xdr:rowOff>60960</xdr:rowOff>
        </xdr:to>
        <xdr:sp macro="" textlink="">
          <xdr:nvSpPr>
            <xdr:cNvPr id="10283" name="Option Button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2461260</xdr:colOff>
          <xdr:row>46</xdr:row>
          <xdr:rowOff>76200</xdr:rowOff>
        </xdr:from>
        <xdr:to>
          <xdr:col>1</xdr:col>
          <xdr:colOff>3208020</xdr:colOff>
          <xdr:row>47</xdr:row>
          <xdr:rowOff>22860</xdr:rowOff>
        </xdr:to>
        <xdr:sp macro="" textlink="">
          <xdr:nvSpPr>
            <xdr:cNvPr id="10284" name="Option Button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14</xdr:row>
          <xdr:rowOff>38100</xdr:rowOff>
        </xdr:from>
        <xdr:to>
          <xdr:col>7</xdr:col>
          <xdr:colOff>594360</xdr:colOff>
          <xdr:row>15</xdr:row>
          <xdr:rowOff>152400</xdr:rowOff>
        </xdr:to>
        <xdr:sp macro="" textlink="">
          <xdr:nvSpPr>
            <xdr:cNvPr id="10285" name="Option Button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14</xdr:row>
          <xdr:rowOff>22860</xdr:rowOff>
        </xdr:from>
        <xdr:to>
          <xdr:col>14</xdr:col>
          <xdr:colOff>457200</xdr:colOff>
          <xdr:row>15</xdr:row>
          <xdr:rowOff>160020</xdr:rowOff>
        </xdr:to>
        <xdr:sp macro="" textlink="">
          <xdr:nvSpPr>
            <xdr:cNvPr id="10286" name="Option Button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327660</xdr:colOff>
          <xdr:row>15</xdr:row>
          <xdr:rowOff>144780</xdr:rowOff>
        </xdr:from>
        <xdr:to>
          <xdr:col>9</xdr:col>
          <xdr:colOff>609600</xdr:colOff>
          <xdr:row>16</xdr:row>
          <xdr:rowOff>137160</xdr:rowOff>
        </xdr:to>
        <xdr:sp macro="" textlink="">
          <xdr:nvSpPr>
            <xdr:cNvPr id="11290" name="Option Button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426720</xdr:colOff>
          <xdr:row>15</xdr:row>
          <xdr:rowOff>137160</xdr:rowOff>
        </xdr:from>
        <xdr:to>
          <xdr:col>14</xdr:col>
          <xdr:colOff>678180</xdr:colOff>
          <xdr:row>16</xdr:row>
          <xdr:rowOff>114300</xdr:rowOff>
        </xdr:to>
        <xdr:sp macro="" textlink="">
          <xdr:nvSpPr>
            <xdr:cNvPr id="11291" name="Option Button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426720</xdr:colOff>
          <xdr:row>15</xdr:row>
          <xdr:rowOff>15240</xdr:rowOff>
        </xdr:from>
        <xdr:to>
          <xdr:col>7</xdr:col>
          <xdr:colOff>579120</xdr:colOff>
          <xdr:row>16</xdr:row>
          <xdr:rowOff>45720</xdr:rowOff>
        </xdr:to>
        <xdr:sp macro="" textlink="">
          <xdr:nvSpPr>
            <xdr:cNvPr id="12328" name="Option Button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May 1 - October 31</a:t>
              </a:r>
              <a:endParaRPr lang="en-CA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15</xdr:row>
          <xdr:rowOff>53340</xdr:rowOff>
        </xdr:from>
        <xdr:to>
          <xdr:col>14</xdr:col>
          <xdr:colOff>312420</xdr:colOff>
          <xdr:row>16</xdr:row>
          <xdr:rowOff>129540</xdr:rowOff>
        </xdr:to>
        <xdr:sp macro="" textlink="">
          <xdr:nvSpPr>
            <xdr:cNvPr id="12330" name="Option Button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  November 1 - April 30 (Select this radio button for applications filed after Oct 31)</a:t>
              </a:r>
              <a:endParaRPr lang="en-CA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6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30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9.xml"/><Relationship Id="rId5" Type="http://schemas.openxmlformats.org/officeDocument/2006/relationships/ctrlProp" Target="../ctrlProps/ctrlProp28.xml"/><Relationship Id="rId4" Type="http://schemas.openxmlformats.org/officeDocument/2006/relationships/ctrlProp" Target="../ctrlProps/ctrlProp27.xml"/><Relationship Id="rId9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mments" Target="../comments8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omments" Target="../comments9.xml"/><Relationship Id="rId5" Type="http://schemas.openxmlformats.org/officeDocument/2006/relationships/ctrlProp" Target="../ctrlProps/ctrlProp35.xml"/><Relationship Id="rId4" Type="http://schemas.openxmlformats.org/officeDocument/2006/relationships/ctrlProp" Target="../ctrlProps/ctrlProp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527"/>
  <sheetViews>
    <sheetView tabSelected="1" view="pageBreakPreview" topLeftCell="A9" zoomScale="70" zoomScaleNormal="80" zoomScaleSheetLayoutView="70" workbookViewId="0">
      <selection activeCell="D482" sqref="D482"/>
    </sheetView>
  </sheetViews>
  <sheetFormatPr defaultColWidth="9.109375" defaultRowHeight="14.4" x14ac:dyDescent="0.3"/>
  <cols>
    <col min="1" max="1" width="4.44140625" style="60" customWidth="1"/>
    <col min="2" max="2" width="53.109375" style="60" customWidth="1"/>
    <col min="3" max="3" width="1.33203125" style="60" customWidth="1"/>
    <col min="4" max="4" width="11.33203125" style="60" customWidth="1"/>
    <col min="5" max="5" width="1.33203125" style="60" customWidth="1"/>
    <col min="6" max="6" width="12.33203125" style="60" customWidth="1"/>
    <col min="7" max="7" width="14.44140625" style="60" bestFit="1" customWidth="1"/>
    <col min="8" max="8" width="14.109375" style="60" customWidth="1"/>
    <col min="9" max="9" width="1.77734375" style="60" customWidth="1"/>
    <col min="10" max="10" width="12.109375" style="60" customWidth="1"/>
    <col min="11" max="11" width="12" style="60" customWidth="1"/>
    <col min="12" max="12" width="11" style="60" customWidth="1"/>
    <col min="13" max="13" width="0.77734375" style="60" customWidth="1"/>
    <col min="14" max="14" width="12.6640625" style="60" bestFit="1" customWidth="1"/>
    <col min="15" max="15" width="13.6640625" style="60" customWidth="1"/>
    <col min="16" max="16" width="0.21875" style="60" customWidth="1"/>
    <col min="17" max="19" width="9.109375" style="126"/>
    <col min="20" max="20" width="9.109375" style="126" customWidth="1"/>
    <col min="21" max="29" width="9.109375" style="126"/>
    <col min="30" max="16384" width="9.109375" style="60"/>
  </cols>
  <sheetData>
    <row r="1" spans="1:29" s="53" customFormat="1" ht="9.6" hidden="1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N1" s="54" t="s">
        <v>0</v>
      </c>
      <c r="O1" s="55" t="s">
        <v>76</v>
      </c>
      <c r="P1" s="56"/>
      <c r="Q1" s="125"/>
      <c r="R1" s="125"/>
      <c r="S1" s="125"/>
      <c r="T1" s="125">
        <v>1</v>
      </c>
      <c r="U1" s="125"/>
      <c r="V1" s="125"/>
      <c r="W1" s="125"/>
      <c r="X1" s="125"/>
      <c r="Y1" s="125"/>
      <c r="Z1" s="125"/>
      <c r="AA1" s="125"/>
      <c r="AB1" s="125"/>
      <c r="AC1" s="125"/>
    </row>
    <row r="2" spans="1:29" s="53" customFormat="1" ht="9.6" hidden="1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N2" s="54" t="s">
        <v>1</v>
      </c>
      <c r="O2" s="2"/>
      <c r="P2" s="56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</row>
    <row r="3" spans="1:29" s="53" customFormat="1" ht="9.6" hidden="1" customHeigh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N3" s="54" t="s">
        <v>2</v>
      </c>
      <c r="O3" s="2"/>
      <c r="P3" s="56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</row>
    <row r="4" spans="1:29" s="53" customFormat="1" ht="9.6" hidden="1" customHeight="1" x14ac:dyDescent="0.3">
      <c r="A4" s="57"/>
      <c r="B4" s="57"/>
      <c r="C4" s="57"/>
      <c r="D4" s="57"/>
      <c r="E4" s="57"/>
      <c r="F4" s="57"/>
      <c r="G4" s="57"/>
      <c r="H4" s="57"/>
      <c r="I4" s="58"/>
      <c r="J4" s="58"/>
      <c r="K4" s="58"/>
      <c r="N4" s="54" t="s">
        <v>3</v>
      </c>
      <c r="O4" s="2"/>
      <c r="P4" s="56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</row>
    <row r="5" spans="1:29" s="53" customFormat="1" ht="9.6" hidden="1" customHeight="1" x14ac:dyDescent="0.3">
      <c r="C5" s="59"/>
      <c r="D5" s="59"/>
      <c r="E5" s="59"/>
      <c r="N5" s="54" t="s">
        <v>4</v>
      </c>
      <c r="O5" s="3"/>
      <c r="P5" s="56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</row>
    <row r="6" spans="1:29" s="53" customFormat="1" ht="9.6" hidden="1" customHeight="1" x14ac:dyDescent="0.3">
      <c r="N6" s="54"/>
      <c r="O6" s="1"/>
      <c r="P6" s="56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</row>
    <row r="7" spans="1:29" s="53" customFormat="1" hidden="1" x14ac:dyDescent="0.3">
      <c r="N7" s="54" t="s">
        <v>5</v>
      </c>
      <c r="O7" s="3"/>
      <c r="P7" s="56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</row>
    <row r="8" spans="1:29" s="53" customFormat="1" ht="15" hidden="1" customHeight="1" x14ac:dyDescent="0.3">
      <c r="N8" s="60"/>
      <c r="O8" s="56"/>
      <c r="P8" s="56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</row>
    <row r="9" spans="1:29" ht="7.5" customHeight="1" x14ac:dyDescent="0.3">
      <c r="L9" s="56"/>
      <c r="M9" s="56"/>
      <c r="N9" s="56"/>
      <c r="O9" s="56"/>
      <c r="P9" s="56"/>
    </row>
    <row r="10" spans="1:29" ht="18.75" customHeight="1" x14ac:dyDescent="0.3">
      <c r="B10" s="175" t="s">
        <v>6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56"/>
    </row>
    <row r="11" spans="1:29" ht="18.75" customHeight="1" x14ac:dyDescent="0.3">
      <c r="B11" s="175" t="s">
        <v>7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56"/>
    </row>
    <row r="12" spans="1:29" ht="7.5" customHeight="1" x14ac:dyDescent="0.3">
      <c r="L12" s="56"/>
      <c r="M12" s="56"/>
      <c r="N12" s="56"/>
      <c r="O12" s="56"/>
      <c r="P12" s="56"/>
    </row>
    <row r="13" spans="1:29" ht="7.5" customHeight="1" x14ac:dyDescent="0.3">
      <c r="L13" s="56"/>
      <c r="M13" s="56"/>
      <c r="N13" s="56"/>
      <c r="O13" s="56"/>
      <c r="P13" s="56"/>
    </row>
    <row r="14" spans="1:29" ht="15.6" x14ac:dyDescent="0.3">
      <c r="B14" s="61" t="s">
        <v>8</v>
      </c>
      <c r="D14" s="185" t="s">
        <v>66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</row>
    <row r="15" spans="1:29" ht="7.5" customHeight="1" x14ac:dyDescent="0.3">
      <c r="B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29" ht="15.6" x14ac:dyDescent="0.3">
      <c r="B16" s="61" t="s">
        <v>9</v>
      </c>
      <c r="D16" s="5" t="s">
        <v>10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pans="2:15" ht="15.6" x14ac:dyDescent="0.3">
      <c r="B17" s="62"/>
      <c r="D17" s="62"/>
      <c r="F17" s="62"/>
      <c r="H17" s="62"/>
      <c r="J17" s="62"/>
      <c r="L17" s="62"/>
      <c r="N17" s="63"/>
      <c r="O17" s="63"/>
    </row>
    <row r="18" spans="2:15" x14ac:dyDescent="0.3">
      <c r="B18" s="64"/>
      <c r="D18" s="65" t="s">
        <v>11</v>
      </c>
      <c r="E18" s="65"/>
      <c r="F18" s="6">
        <v>800</v>
      </c>
      <c r="G18" s="65" t="s">
        <v>12</v>
      </c>
    </row>
    <row r="19" spans="2:15" x14ac:dyDescent="0.3">
      <c r="B19" s="64"/>
      <c r="G19" s="65"/>
    </row>
    <row r="20" spans="2:15" x14ac:dyDescent="0.3">
      <c r="B20" s="64"/>
      <c r="D20" s="66"/>
      <c r="E20" s="66"/>
      <c r="F20" s="176" t="s">
        <v>13</v>
      </c>
      <c r="G20" s="177"/>
      <c r="H20" s="178"/>
      <c r="J20" s="176" t="s">
        <v>14</v>
      </c>
      <c r="K20" s="177"/>
      <c r="L20" s="178"/>
      <c r="N20" s="176" t="s">
        <v>15</v>
      </c>
      <c r="O20" s="178"/>
    </row>
    <row r="21" spans="2:15" x14ac:dyDescent="0.3">
      <c r="B21" s="64"/>
      <c r="D21" s="179" t="s">
        <v>16</v>
      </c>
      <c r="E21" s="67"/>
      <c r="F21" s="68" t="s">
        <v>17</v>
      </c>
      <c r="G21" s="68" t="s">
        <v>18</v>
      </c>
      <c r="H21" s="69" t="s">
        <v>19</v>
      </c>
      <c r="J21" s="68" t="s">
        <v>17</v>
      </c>
      <c r="K21" s="70" t="s">
        <v>18</v>
      </c>
      <c r="L21" s="69" t="s">
        <v>19</v>
      </c>
      <c r="N21" s="181" t="s">
        <v>20</v>
      </c>
      <c r="O21" s="183" t="s">
        <v>21</v>
      </c>
    </row>
    <row r="22" spans="2:15" x14ac:dyDescent="0.3">
      <c r="B22" s="64"/>
      <c r="D22" s="180"/>
      <c r="E22" s="67"/>
      <c r="F22" s="71" t="s">
        <v>22</v>
      </c>
      <c r="G22" s="71"/>
      <c r="H22" s="72" t="s">
        <v>22</v>
      </c>
      <c r="J22" s="71" t="s">
        <v>22</v>
      </c>
      <c r="K22" s="72"/>
      <c r="L22" s="72" t="s">
        <v>22</v>
      </c>
      <c r="N22" s="182"/>
      <c r="O22" s="184"/>
    </row>
    <row r="23" spans="2:15" x14ac:dyDescent="0.3">
      <c r="B23" s="73" t="s">
        <v>23</v>
      </c>
      <c r="C23" s="73"/>
      <c r="D23" s="7" t="s">
        <v>24</v>
      </c>
      <c r="E23" s="73"/>
      <c r="F23" s="129">
        <v>13.11</v>
      </c>
      <c r="G23" s="74">
        <v>1</v>
      </c>
      <c r="H23" s="75">
        <f t="shared" ref="H23:H38" si="0">G23*F23</f>
        <v>13.11</v>
      </c>
      <c r="I23" s="76"/>
      <c r="J23" s="129">
        <v>14.42</v>
      </c>
      <c r="K23" s="77">
        <v>1</v>
      </c>
      <c r="L23" s="75">
        <f t="shared" ref="L23:L38" si="1">K23*J23</f>
        <v>14.42</v>
      </c>
      <c r="M23" s="76"/>
      <c r="N23" s="78">
        <f t="shared" ref="N23:N59" si="2">L23-H23</f>
        <v>1.3100000000000005</v>
      </c>
      <c r="O23" s="79">
        <f t="shared" ref="O23:O45" si="3">IF((H23)=0,"",(N23/H23))</f>
        <v>9.9923722349351679E-2</v>
      </c>
    </row>
    <row r="24" spans="2:15" x14ac:dyDescent="0.3">
      <c r="B24" s="73" t="s">
        <v>25</v>
      </c>
      <c r="C24" s="73"/>
      <c r="D24" s="7" t="s">
        <v>24</v>
      </c>
      <c r="E24" s="73"/>
      <c r="F24" s="133">
        <v>2.4900000000000002</v>
      </c>
      <c r="G24" s="74">
        <v>1</v>
      </c>
      <c r="H24" s="136">
        <f t="shared" si="0"/>
        <v>2.4900000000000002</v>
      </c>
      <c r="I24" s="76"/>
      <c r="J24" s="130"/>
      <c r="K24" s="77">
        <v>1</v>
      </c>
      <c r="L24" s="136">
        <f t="shared" si="1"/>
        <v>0</v>
      </c>
      <c r="M24" s="76"/>
      <c r="N24" s="137">
        <f t="shared" si="2"/>
        <v>-2.4900000000000002</v>
      </c>
      <c r="O24" s="79">
        <f t="shared" si="3"/>
        <v>-1</v>
      </c>
    </row>
    <row r="25" spans="2:15" x14ac:dyDescent="0.3">
      <c r="B25" s="9"/>
      <c r="C25" s="73"/>
      <c r="D25" s="7"/>
      <c r="E25" s="73"/>
      <c r="F25" s="134"/>
      <c r="G25" s="74">
        <v>1</v>
      </c>
      <c r="H25" s="136">
        <f t="shared" si="0"/>
        <v>0</v>
      </c>
      <c r="I25" s="76"/>
      <c r="J25" s="131"/>
      <c r="K25" s="77">
        <v>1</v>
      </c>
      <c r="L25" s="136">
        <f t="shared" si="1"/>
        <v>0</v>
      </c>
      <c r="M25" s="76"/>
      <c r="N25" s="137">
        <f t="shared" si="2"/>
        <v>0</v>
      </c>
      <c r="O25" s="79" t="str">
        <f t="shared" si="3"/>
        <v/>
      </c>
    </row>
    <row r="26" spans="2:15" x14ac:dyDescent="0.3">
      <c r="B26" s="9"/>
      <c r="C26" s="73"/>
      <c r="D26" s="7"/>
      <c r="E26" s="73"/>
      <c r="F26" s="134"/>
      <c r="G26" s="74">
        <v>1</v>
      </c>
      <c r="H26" s="136">
        <f t="shared" si="0"/>
        <v>0</v>
      </c>
      <c r="I26" s="76"/>
      <c r="J26" s="131"/>
      <c r="K26" s="77">
        <v>1</v>
      </c>
      <c r="L26" s="136">
        <f t="shared" si="1"/>
        <v>0</v>
      </c>
      <c r="M26" s="76"/>
      <c r="N26" s="137">
        <f t="shared" si="2"/>
        <v>0</v>
      </c>
      <c r="O26" s="79" t="str">
        <f t="shared" si="3"/>
        <v/>
      </c>
    </row>
    <row r="27" spans="2:15" x14ac:dyDescent="0.3">
      <c r="B27" s="10"/>
      <c r="C27" s="73"/>
      <c r="D27" s="7"/>
      <c r="E27" s="73"/>
      <c r="F27" s="134"/>
      <c r="G27" s="74">
        <v>1</v>
      </c>
      <c r="H27" s="136">
        <f t="shared" si="0"/>
        <v>0</v>
      </c>
      <c r="I27" s="76"/>
      <c r="J27" s="131"/>
      <c r="K27" s="77">
        <v>1</v>
      </c>
      <c r="L27" s="136">
        <f t="shared" si="1"/>
        <v>0</v>
      </c>
      <c r="M27" s="76"/>
      <c r="N27" s="137">
        <f t="shared" si="2"/>
        <v>0</v>
      </c>
      <c r="O27" s="79" t="str">
        <f t="shared" si="3"/>
        <v/>
      </c>
    </row>
    <row r="28" spans="2:15" x14ac:dyDescent="0.3">
      <c r="B28" s="10"/>
      <c r="C28" s="73"/>
      <c r="D28" s="7"/>
      <c r="E28" s="73"/>
      <c r="F28" s="134"/>
      <c r="G28" s="74">
        <v>1</v>
      </c>
      <c r="H28" s="136">
        <f t="shared" si="0"/>
        <v>0</v>
      </c>
      <c r="I28" s="76"/>
      <c r="J28" s="131"/>
      <c r="K28" s="77">
        <v>1</v>
      </c>
      <c r="L28" s="136">
        <f t="shared" si="1"/>
        <v>0</v>
      </c>
      <c r="M28" s="76"/>
      <c r="N28" s="137">
        <f t="shared" si="2"/>
        <v>0</v>
      </c>
      <c r="O28" s="79" t="str">
        <f t="shared" si="3"/>
        <v/>
      </c>
    </row>
    <row r="29" spans="2:15" x14ac:dyDescent="0.3">
      <c r="B29" s="73" t="s">
        <v>26</v>
      </c>
      <c r="C29" s="73"/>
      <c r="D29" s="7" t="s">
        <v>27</v>
      </c>
      <c r="E29" s="73"/>
      <c r="F29" s="135">
        <v>1.43E-2</v>
      </c>
      <c r="G29" s="74">
        <f>$F$18</f>
        <v>800</v>
      </c>
      <c r="H29" s="136">
        <f t="shared" si="0"/>
        <v>11.44</v>
      </c>
      <c r="I29" s="76"/>
      <c r="J29" s="132">
        <v>1.5699999999999999E-2</v>
      </c>
      <c r="K29" s="74">
        <f>$F$18</f>
        <v>800</v>
      </c>
      <c r="L29" s="136">
        <f t="shared" si="1"/>
        <v>12.559999999999999</v>
      </c>
      <c r="M29" s="76"/>
      <c r="N29" s="137">
        <f t="shared" si="2"/>
        <v>1.1199999999999992</v>
      </c>
      <c r="O29" s="79">
        <f t="shared" si="3"/>
        <v>9.7902097902097834E-2</v>
      </c>
    </row>
    <row r="30" spans="2:15" x14ac:dyDescent="0.3">
      <c r="B30" s="73" t="s">
        <v>28</v>
      </c>
      <c r="C30" s="73"/>
      <c r="D30" s="7" t="s">
        <v>24</v>
      </c>
      <c r="E30" s="73"/>
      <c r="F30" s="135">
        <v>-0.03</v>
      </c>
      <c r="G30" s="74">
        <v>1</v>
      </c>
      <c r="H30" s="136">
        <f t="shared" si="0"/>
        <v>-0.03</v>
      </c>
      <c r="I30" s="76"/>
      <c r="J30" s="132"/>
      <c r="K30" s="74">
        <f>$F$18</f>
        <v>800</v>
      </c>
      <c r="L30" s="136">
        <f t="shared" si="1"/>
        <v>0</v>
      </c>
      <c r="M30" s="76"/>
      <c r="N30" s="137">
        <f t="shared" si="2"/>
        <v>0.03</v>
      </c>
      <c r="O30" s="79">
        <f t="shared" si="3"/>
        <v>-1</v>
      </c>
    </row>
    <row r="31" spans="2:15" x14ac:dyDescent="0.3">
      <c r="B31" s="73" t="s">
        <v>29</v>
      </c>
      <c r="C31" s="73"/>
      <c r="D31" s="7" t="s">
        <v>27</v>
      </c>
      <c r="E31" s="73"/>
      <c r="F31" s="135">
        <v>2.9999999999999997E-4</v>
      </c>
      <c r="G31" s="74">
        <f>$F$18</f>
        <v>800</v>
      </c>
      <c r="H31" s="136">
        <f t="shared" si="0"/>
        <v>0.24</v>
      </c>
      <c r="I31" s="76"/>
      <c r="J31" s="171">
        <v>0</v>
      </c>
      <c r="K31" s="74">
        <f>$F$18</f>
        <v>800</v>
      </c>
      <c r="L31" s="136">
        <f t="shared" si="1"/>
        <v>0</v>
      </c>
      <c r="M31" s="76"/>
      <c r="N31" s="137">
        <f t="shared" si="2"/>
        <v>-0.24</v>
      </c>
      <c r="O31" s="79">
        <f t="shared" si="3"/>
        <v>-1</v>
      </c>
    </row>
    <row r="32" spans="2:15" x14ac:dyDescent="0.3">
      <c r="B32" s="11" t="s">
        <v>30</v>
      </c>
      <c r="C32" s="73"/>
      <c r="D32" s="7" t="s">
        <v>27</v>
      </c>
      <c r="E32" s="73"/>
      <c r="F32" s="135">
        <v>1.8E-3</v>
      </c>
      <c r="G32" s="74">
        <f>$F$18</f>
        <v>800</v>
      </c>
      <c r="H32" s="136">
        <f t="shared" si="0"/>
        <v>1.44</v>
      </c>
      <c r="I32" s="76"/>
      <c r="J32" s="132"/>
      <c r="K32" s="74">
        <f>$F$18</f>
        <v>800</v>
      </c>
      <c r="L32" s="136">
        <f t="shared" si="1"/>
        <v>0</v>
      </c>
      <c r="M32" s="76"/>
      <c r="N32" s="137">
        <f t="shared" si="2"/>
        <v>-1.44</v>
      </c>
      <c r="O32" s="79">
        <f t="shared" si="3"/>
        <v>-1</v>
      </c>
    </row>
    <row r="33" spans="1:63" x14ac:dyDescent="0.3">
      <c r="B33" s="11" t="s">
        <v>31</v>
      </c>
      <c r="C33" s="73"/>
      <c r="D33" s="7" t="s">
        <v>27</v>
      </c>
      <c r="E33" s="73"/>
      <c r="F33" s="135">
        <v>-2.9999999999999997E-4</v>
      </c>
      <c r="G33" s="74">
        <f>$F$18</f>
        <v>800</v>
      </c>
      <c r="H33" s="136">
        <f t="shared" si="0"/>
        <v>-0.24</v>
      </c>
      <c r="I33" s="76"/>
      <c r="J33" s="132"/>
      <c r="K33" s="74">
        <f>$F$18</f>
        <v>800</v>
      </c>
      <c r="L33" s="136">
        <f t="shared" si="1"/>
        <v>0</v>
      </c>
      <c r="M33" s="76"/>
      <c r="N33" s="137">
        <f t="shared" si="2"/>
        <v>0.24</v>
      </c>
      <c r="O33" s="79">
        <f t="shared" si="3"/>
        <v>-1</v>
      </c>
    </row>
    <row r="34" spans="1:63" x14ac:dyDescent="0.3">
      <c r="B34" s="11" t="s">
        <v>32</v>
      </c>
      <c r="C34" s="73"/>
      <c r="D34" s="7" t="s">
        <v>24</v>
      </c>
      <c r="E34" s="73"/>
      <c r="F34" s="135">
        <v>0</v>
      </c>
      <c r="G34" s="74">
        <v>1</v>
      </c>
      <c r="H34" s="136">
        <f t="shared" si="0"/>
        <v>0</v>
      </c>
      <c r="I34" s="76"/>
      <c r="J34" s="132">
        <v>0.77</v>
      </c>
      <c r="K34" s="74">
        <v>1</v>
      </c>
      <c r="L34" s="136">
        <f t="shared" si="1"/>
        <v>0.77</v>
      </c>
      <c r="M34" s="76"/>
      <c r="N34" s="137">
        <f t="shared" si="2"/>
        <v>0.77</v>
      </c>
      <c r="O34" s="79" t="str">
        <f t="shared" si="3"/>
        <v/>
      </c>
    </row>
    <row r="35" spans="1:63" x14ac:dyDescent="0.3">
      <c r="B35" s="12" t="s">
        <v>78</v>
      </c>
      <c r="C35" s="73"/>
      <c r="D35" s="7" t="s">
        <v>27</v>
      </c>
      <c r="E35" s="73"/>
      <c r="F35" s="134"/>
      <c r="G35" s="74">
        <f>$F$18</f>
        <v>800</v>
      </c>
      <c r="H35" s="136">
        <f t="shared" si="0"/>
        <v>0</v>
      </c>
      <c r="I35" s="76"/>
      <c r="J35" s="132">
        <v>-5.9999999999999995E-4</v>
      </c>
      <c r="K35" s="74">
        <f>$F$18</f>
        <v>800</v>
      </c>
      <c r="L35" s="136">
        <f t="shared" si="1"/>
        <v>-0.48</v>
      </c>
      <c r="M35" s="76"/>
      <c r="N35" s="137">
        <f t="shared" si="2"/>
        <v>-0.48</v>
      </c>
      <c r="O35" s="79" t="str">
        <f t="shared" si="3"/>
        <v/>
      </c>
    </row>
    <row r="36" spans="1:63" x14ac:dyDescent="0.3">
      <c r="B36" s="12" t="s">
        <v>79</v>
      </c>
      <c r="C36" s="73"/>
      <c r="D36" s="7" t="s">
        <v>27</v>
      </c>
      <c r="E36" s="73"/>
      <c r="F36" s="134"/>
      <c r="G36" s="74">
        <f>$F$18</f>
        <v>800</v>
      </c>
      <c r="H36" s="136">
        <f t="shared" si="0"/>
        <v>0</v>
      </c>
      <c r="I36" s="76"/>
      <c r="J36" s="132">
        <v>2.9999999999999997E-4</v>
      </c>
      <c r="K36" s="74">
        <f>$F$18</f>
        <v>800</v>
      </c>
      <c r="L36" s="136">
        <f t="shared" si="1"/>
        <v>0.24</v>
      </c>
      <c r="M36" s="76"/>
      <c r="N36" s="137">
        <f t="shared" si="2"/>
        <v>0.24</v>
      </c>
      <c r="O36" s="79" t="str">
        <f t="shared" si="3"/>
        <v/>
      </c>
    </row>
    <row r="37" spans="1:63" x14ac:dyDescent="0.3">
      <c r="B37" s="12" t="s">
        <v>80</v>
      </c>
      <c r="C37" s="73"/>
      <c r="D37" s="7" t="s">
        <v>27</v>
      </c>
      <c r="E37" s="73"/>
      <c r="F37" s="131"/>
      <c r="G37" s="74">
        <f>$F$18</f>
        <v>800</v>
      </c>
      <c r="H37" s="136">
        <f t="shared" si="0"/>
        <v>0</v>
      </c>
      <c r="I37" s="76"/>
      <c r="J37" s="132">
        <v>2.0000000000000001E-4</v>
      </c>
      <c r="K37" s="74">
        <f>$F$18</f>
        <v>800</v>
      </c>
      <c r="L37" s="136">
        <f t="shared" si="1"/>
        <v>0.16</v>
      </c>
      <c r="M37" s="76"/>
      <c r="N37" s="137">
        <f t="shared" si="2"/>
        <v>0.16</v>
      </c>
      <c r="O37" s="79" t="str">
        <f t="shared" si="3"/>
        <v/>
      </c>
    </row>
    <row r="38" spans="1:63" x14ac:dyDescent="0.3">
      <c r="B38" s="12"/>
      <c r="C38" s="73"/>
      <c r="D38" s="7"/>
      <c r="E38" s="73"/>
      <c r="F38" s="131"/>
      <c r="G38" s="74">
        <f>$F$18</f>
        <v>800</v>
      </c>
      <c r="H38" s="136">
        <f t="shared" si="0"/>
        <v>0</v>
      </c>
      <c r="I38" s="76"/>
      <c r="J38" s="131"/>
      <c r="K38" s="74">
        <f>$F$18</f>
        <v>800</v>
      </c>
      <c r="L38" s="136">
        <f t="shared" si="1"/>
        <v>0</v>
      </c>
      <c r="M38" s="76"/>
      <c r="N38" s="137">
        <f t="shared" si="2"/>
        <v>0</v>
      </c>
      <c r="O38" s="79" t="str">
        <f t="shared" si="3"/>
        <v/>
      </c>
    </row>
    <row r="39" spans="1:63" s="4" customFormat="1" x14ac:dyDescent="0.3">
      <c r="A39" s="60"/>
      <c r="B39" s="19" t="s">
        <v>33</v>
      </c>
      <c r="C39" s="20"/>
      <c r="D39" s="20"/>
      <c r="E39" s="20"/>
      <c r="F39" s="21"/>
      <c r="G39" s="22"/>
      <c r="H39" s="23">
        <f>SUM(H23:H38)</f>
        <v>28.45</v>
      </c>
      <c r="I39" s="13"/>
      <c r="J39" s="14"/>
      <c r="K39" s="24"/>
      <c r="L39" s="23">
        <f>SUM(L23:L38)</f>
        <v>27.669999999999995</v>
      </c>
      <c r="M39" s="13"/>
      <c r="N39" s="15">
        <f t="shared" si="2"/>
        <v>-0.78000000000000469</v>
      </c>
      <c r="O39" s="16">
        <f t="shared" si="3"/>
        <v>-2.7416520210896474E-2</v>
      </c>
      <c r="P39" s="60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</row>
    <row r="40" spans="1:63" x14ac:dyDescent="0.3">
      <c r="B40" s="17" t="s">
        <v>34</v>
      </c>
      <c r="C40" s="73"/>
      <c r="D40" s="7" t="s">
        <v>27</v>
      </c>
      <c r="E40" s="73"/>
      <c r="F40" s="135">
        <v>2.9999999999999997E-4</v>
      </c>
      <c r="G40" s="74">
        <f>$F$18</f>
        <v>800</v>
      </c>
      <c r="H40" s="136">
        <f t="shared" ref="H40:H46" si="4">G40*F40</f>
        <v>0.24</v>
      </c>
      <c r="I40" s="76"/>
      <c r="J40" s="135">
        <v>-5.0000000000000001E-4</v>
      </c>
      <c r="K40" s="74">
        <f>$F$18</f>
        <v>800</v>
      </c>
      <c r="L40" s="136">
        <f t="shared" ref="L40:L46" si="5">K40*J40</f>
        <v>-0.4</v>
      </c>
      <c r="M40" s="76"/>
      <c r="N40" s="137">
        <f t="shared" si="2"/>
        <v>-0.64</v>
      </c>
      <c r="O40" s="79">
        <f t="shared" si="3"/>
        <v>-2.666666666666667</v>
      </c>
    </row>
    <row r="41" spans="1:63" x14ac:dyDescent="0.3">
      <c r="B41" s="17"/>
      <c r="C41" s="73"/>
      <c r="D41" s="7"/>
      <c r="E41" s="73"/>
      <c r="F41" s="8"/>
      <c r="G41" s="74">
        <f>$F$18</f>
        <v>800</v>
      </c>
      <c r="H41" s="136">
        <f t="shared" si="4"/>
        <v>0</v>
      </c>
      <c r="I41" s="82"/>
      <c r="J41" s="8"/>
      <c r="K41" s="74">
        <f>$F$18</f>
        <v>800</v>
      </c>
      <c r="L41" s="136">
        <f t="shared" si="5"/>
        <v>0</v>
      </c>
      <c r="M41" s="83"/>
      <c r="N41" s="137">
        <f t="shared" si="2"/>
        <v>0</v>
      </c>
      <c r="O41" s="79" t="str">
        <f t="shared" si="3"/>
        <v/>
      </c>
    </row>
    <row r="42" spans="1:63" x14ac:dyDescent="0.3">
      <c r="B42" s="17"/>
      <c r="C42" s="73"/>
      <c r="D42" s="7"/>
      <c r="E42" s="73"/>
      <c r="F42" s="8"/>
      <c r="G42" s="74">
        <f>$F$18</f>
        <v>800</v>
      </c>
      <c r="H42" s="136">
        <f t="shared" si="4"/>
        <v>0</v>
      </c>
      <c r="I42" s="82"/>
      <c r="J42" s="8"/>
      <c r="K42" s="74">
        <f>$F$18</f>
        <v>800</v>
      </c>
      <c r="L42" s="136">
        <f t="shared" si="5"/>
        <v>0</v>
      </c>
      <c r="M42" s="83"/>
      <c r="N42" s="137">
        <f t="shared" si="2"/>
        <v>0</v>
      </c>
      <c r="O42" s="79" t="str">
        <f t="shared" si="3"/>
        <v/>
      </c>
    </row>
    <row r="43" spans="1:63" x14ac:dyDescent="0.3">
      <c r="B43" s="17"/>
      <c r="C43" s="73"/>
      <c r="D43" s="7"/>
      <c r="E43" s="73"/>
      <c r="F43" s="8"/>
      <c r="G43" s="74">
        <f>$F$18</f>
        <v>800</v>
      </c>
      <c r="H43" s="136">
        <f t="shared" si="4"/>
        <v>0</v>
      </c>
      <c r="I43" s="82"/>
      <c r="J43" s="8"/>
      <c r="K43" s="74">
        <f>$F$18</f>
        <v>800</v>
      </c>
      <c r="L43" s="136">
        <f t="shared" si="5"/>
        <v>0</v>
      </c>
      <c r="M43" s="83"/>
      <c r="N43" s="137">
        <f t="shared" si="2"/>
        <v>0</v>
      </c>
      <c r="O43" s="79" t="str">
        <f t="shared" si="3"/>
        <v/>
      </c>
    </row>
    <row r="44" spans="1:63" x14ac:dyDescent="0.3">
      <c r="B44" s="80" t="s">
        <v>35</v>
      </c>
      <c r="C44" s="73"/>
      <c r="D44" s="7" t="s">
        <v>27</v>
      </c>
      <c r="E44" s="73"/>
      <c r="F44" s="135">
        <v>2.0000000000000001E-4</v>
      </c>
      <c r="G44" s="74">
        <f>$F$18</f>
        <v>800</v>
      </c>
      <c r="H44" s="136">
        <f t="shared" si="4"/>
        <v>0.16</v>
      </c>
      <c r="I44" s="76"/>
      <c r="J44" s="135">
        <v>4.0000000000000002E-4</v>
      </c>
      <c r="K44" s="74">
        <f>$F$18</f>
        <v>800</v>
      </c>
      <c r="L44" s="136">
        <f t="shared" si="5"/>
        <v>0.32</v>
      </c>
      <c r="M44" s="76"/>
      <c r="N44" s="137">
        <f t="shared" si="2"/>
        <v>0.16</v>
      </c>
      <c r="O44" s="79">
        <f t="shared" si="3"/>
        <v>1</v>
      </c>
    </row>
    <row r="45" spans="1:63" x14ac:dyDescent="0.3">
      <c r="B45" s="80" t="s">
        <v>36</v>
      </c>
      <c r="C45" s="73"/>
      <c r="D45" s="7" t="s">
        <v>27</v>
      </c>
      <c r="E45" s="73"/>
      <c r="F45" s="138">
        <f>IF(ISBLANK(D16)=TRUE, 0, IF(D16="TOU", 0.64*$F55+0.18*$F56+0.18*$F57, IF(AND(D16="non-TOU", G59&gt;0), F59,F58)))</f>
        <v>8.3919999999999995E-2</v>
      </c>
      <c r="G45" s="18">
        <f>$F$18*(1+$F$74)-$F$18</f>
        <v>30.160000000000082</v>
      </c>
      <c r="H45" s="136">
        <f t="shared" si="4"/>
        <v>2.5310272000000067</v>
      </c>
      <c r="I45" s="76"/>
      <c r="J45" s="138">
        <f>0.64*$F55+0.18*$F56+0.18*$F57</f>
        <v>8.3919999999999995E-2</v>
      </c>
      <c r="K45" s="18">
        <f>$F$18*(1+$J$74)-$F$18</f>
        <v>30.080000000000041</v>
      </c>
      <c r="L45" s="136">
        <f t="shared" si="5"/>
        <v>2.5243136000000033</v>
      </c>
      <c r="M45" s="76"/>
      <c r="N45" s="137">
        <f t="shared" si="2"/>
        <v>-6.7136000000034279E-3</v>
      </c>
      <c r="O45" s="79">
        <f t="shared" si="3"/>
        <v>-2.6525198939005516E-3</v>
      </c>
    </row>
    <row r="46" spans="1:63" x14ac:dyDescent="0.3">
      <c r="B46" s="80" t="s">
        <v>37</v>
      </c>
      <c r="C46" s="73"/>
      <c r="D46" s="7" t="s">
        <v>24</v>
      </c>
      <c r="E46" s="73"/>
      <c r="F46" s="138">
        <v>0.79</v>
      </c>
      <c r="G46" s="74">
        <v>1</v>
      </c>
      <c r="H46" s="136">
        <f t="shared" si="4"/>
        <v>0.79</v>
      </c>
      <c r="I46" s="76"/>
      <c r="J46" s="138">
        <v>0.79</v>
      </c>
      <c r="K46" s="81">
        <v>1</v>
      </c>
      <c r="L46" s="136">
        <f t="shared" si="5"/>
        <v>0.79</v>
      </c>
      <c r="M46" s="76"/>
      <c r="N46" s="137">
        <f t="shared" si="2"/>
        <v>0</v>
      </c>
      <c r="O46" s="79"/>
    </row>
    <row r="47" spans="1:63" s="4" customFormat="1" x14ac:dyDescent="0.3">
      <c r="A47" s="60"/>
      <c r="B47" s="19" t="s">
        <v>38</v>
      </c>
      <c r="C47" s="20"/>
      <c r="D47" s="20"/>
      <c r="E47" s="20"/>
      <c r="F47" s="21"/>
      <c r="G47" s="22"/>
      <c r="H47" s="23">
        <f>SUM(H40:H46)+H39</f>
        <v>32.171027200000005</v>
      </c>
      <c r="I47" s="13"/>
      <c r="J47" s="22"/>
      <c r="K47" s="24"/>
      <c r="L47" s="23">
        <f>SUM(L40:L46)+L39</f>
        <v>30.904313599999998</v>
      </c>
      <c r="M47" s="13"/>
      <c r="N47" s="15">
        <f t="shared" si="2"/>
        <v>-1.2667136000000063</v>
      </c>
      <c r="O47" s="16">
        <f t="shared" ref="O47:O59" si="6">IF((H47)=0,"",(N47/H47))</f>
        <v>-3.937435979663112E-2</v>
      </c>
      <c r="P47" s="60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</row>
    <row r="48" spans="1:63" x14ac:dyDescent="0.3">
      <c r="B48" s="76" t="s">
        <v>39</v>
      </c>
      <c r="C48" s="76"/>
      <c r="D48" s="25" t="s">
        <v>27</v>
      </c>
      <c r="E48" s="76"/>
      <c r="F48" s="135">
        <v>8.0000000000000002E-3</v>
      </c>
      <c r="G48" s="18">
        <f>F18*(1+F74)</f>
        <v>830.16000000000008</v>
      </c>
      <c r="H48" s="136">
        <f>G48*F48</f>
        <v>6.641280000000001</v>
      </c>
      <c r="I48" s="76"/>
      <c r="J48" s="135">
        <v>7.9000000000000008E-3</v>
      </c>
      <c r="K48" s="18">
        <f>F18*(1+J74)</f>
        <v>830.08</v>
      </c>
      <c r="L48" s="136">
        <f>K48*J48</f>
        <v>6.5576320000000008</v>
      </c>
      <c r="M48" s="76"/>
      <c r="N48" s="136">
        <f t="shared" si="2"/>
        <v>-8.3648000000000167E-2</v>
      </c>
      <c r="O48" s="79">
        <f t="shared" si="6"/>
        <v>-1.259516237833673E-2</v>
      </c>
    </row>
    <row r="49" spans="1:63" x14ac:dyDescent="0.3">
      <c r="B49" s="85" t="s">
        <v>40</v>
      </c>
      <c r="C49" s="76"/>
      <c r="D49" s="25" t="s">
        <v>27</v>
      </c>
      <c r="E49" s="76"/>
      <c r="F49" s="135">
        <v>5.4999999999999997E-3</v>
      </c>
      <c r="G49" s="18">
        <f>G48</f>
        <v>830.16000000000008</v>
      </c>
      <c r="H49" s="136">
        <f>G49*F49</f>
        <v>4.5658799999999999</v>
      </c>
      <c r="I49" s="76"/>
      <c r="J49" s="135">
        <v>5.3E-3</v>
      </c>
      <c r="K49" s="18">
        <f>K48</f>
        <v>830.08</v>
      </c>
      <c r="L49" s="136">
        <f>K49*J49</f>
        <v>4.3994240000000007</v>
      </c>
      <c r="M49" s="76"/>
      <c r="N49" s="136">
        <f t="shared" si="2"/>
        <v>-0.16645599999999927</v>
      </c>
      <c r="O49" s="79">
        <f t="shared" si="6"/>
        <v>-3.6456499075753039E-2</v>
      </c>
    </row>
    <row r="50" spans="1:63" s="4" customFormat="1" x14ac:dyDescent="0.3">
      <c r="A50" s="60"/>
      <c r="B50" s="19" t="s">
        <v>41</v>
      </c>
      <c r="C50" s="20"/>
      <c r="D50" s="20"/>
      <c r="E50" s="20"/>
      <c r="F50" s="21"/>
      <c r="G50" s="22"/>
      <c r="H50" s="23">
        <f>SUM(H47:H49)</f>
        <v>43.378187200000006</v>
      </c>
      <c r="I50" s="13"/>
      <c r="J50" s="26"/>
      <c r="K50" s="22"/>
      <c r="L50" s="23">
        <f>SUM(L47:L49)</f>
        <v>41.861369600000003</v>
      </c>
      <c r="M50" s="13"/>
      <c r="N50" s="15">
        <f t="shared" si="2"/>
        <v>-1.5168176000000031</v>
      </c>
      <c r="O50" s="16">
        <f t="shared" si="6"/>
        <v>-3.4967288812843771E-2</v>
      </c>
      <c r="P50" s="60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</row>
    <row r="51" spans="1:63" x14ac:dyDescent="0.3">
      <c r="B51" s="86" t="s">
        <v>42</v>
      </c>
      <c r="C51" s="73"/>
      <c r="D51" s="7" t="s">
        <v>27</v>
      </c>
      <c r="E51" s="73"/>
      <c r="F51" s="135">
        <v>4.4000000000000003E-3</v>
      </c>
      <c r="G51" s="18">
        <f>G49</f>
        <v>830.16000000000008</v>
      </c>
      <c r="H51" s="139">
        <f t="shared" ref="H51:H59" si="7">G51*F51</f>
        <v>3.6527040000000004</v>
      </c>
      <c r="I51" s="76"/>
      <c r="J51" s="135">
        <v>4.4000000000000003E-3</v>
      </c>
      <c r="K51" s="18">
        <f>K49</f>
        <v>830.08</v>
      </c>
      <c r="L51" s="139">
        <f t="shared" ref="L51:L59" si="8">K51*J51</f>
        <v>3.6523520000000005</v>
      </c>
      <c r="M51" s="76"/>
      <c r="N51" s="137">
        <f t="shared" si="2"/>
        <v>-3.5199999999990794E-4</v>
      </c>
      <c r="O51" s="87">
        <f t="shared" si="6"/>
        <v>-9.6366965404234207E-5</v>
      </c>
    </row>
    <row r="52" spans="1:63" x14ac:dyDescent="0.3">
      <c r="B52" s="86" t="s">
        <v>43</v>
      </c>
      <c r="C52" s="73"/>
      <c r="D52" s="7" t="s">
        <v>27</v>
      </c>
      <c r="E52" s="73"/>
      <c r="F52" s="135">
        <v>1.1999999999999999E-3</v>
      </c>
      <c r="G52" s="18">
        <f>G49</f>
        <v>830.16000000000008</v>
      </c>
      <c r="H52" s="139">
        <f t="shared" si="7"/>
        <v>0.99619199999999997</v>
      </c>
      <c r="I52" s="76"/>
      <c r="J52" s="135">
        <v>1.2999999999999999E-3</v>
      </c>
      <c r="K52" s="18">
        <f>K49</f>
        <v>830.08</v>
      </c>
      <c r="L52" s="139">
        <f t="shared" si="8"/>
        <v>1.0791040000000001</v>
      </c>
      <c r="M52" s="76"/>
      <c r="N52" s="137">
        <f t="shared" si="2"/>
        <v>8.2912000000000097E-2</v>
      </c>
      <c r="O52" s="87">
        <f t="shared" si="6"/>
        <v>8.3228935787478822E-2</v>
      </c>
    </row>
    <row r="53" spans="1:63" x14ac:dyDescent="0.3">
      <c r="B53" s="73" t="s">
        <v>44</v>
      </c>
      <c r="C53" s="73"/>
      <c r="D53" s="7" t="s">
        <v>24</v>
      </c>
      <c r="E53" s="73"/>
      <c r="F53" s="135">
        <v>0.25</v>
      </c>
      <c r="G53" s="81">
        <v>1</v>
      </c>
      <c r="H53" s="139">
        <f t="shared" si="7"/>
        <v>0.25</v>
      </c>
      <c r="I53" s="76"/>
      <c r="J53" s="135">
        <v>0.25</v>
      </c>
      <c r="K53" s="77">
        <v>1</v>
      </c>
      <c r="L53" s="139">
        <f t="shared" si="8"/>
        <v>0.25</v>
      </c>
      <c r="M53" s="76"/>
      <c r="N53" s="137">
        <f t="shared" si="2"/>
        <v>0</v>
      </c>
      <c r="O53" s="87">
        <f t="shared" si="6"/>
        <v>0</v>
      </c>
    </row>
    <row r="54" spans="1:63" x14ac:dyDescent="0.3">
      <c r="B54" s="73" t="s">
        <v>45</v>
      </c>
      <c r="C54" s="73"/>
      <c r="D54" s="7" t="s">
        <v>27</v>
      </c>
      <c r="E54" s="73"/>
      <c r="F54" s="135">
        <v>7.0000000000000001E-3</v>
      </c>
      <c r="G54" s="84">
        <f>F18</f>
        <v>800</v>
      </c>
      <c r="H54" s="139">
        <f t="shared" si="7"/>
        <v>5.6000000000000005</v>
      </c>
      <c r="I54" s="76"/>
      <c r="J54" s="135">
        <v>7.0000000000000001E-3</v>
      </c>
      <c r="K54" s="77">
        <f>F18</f>
        <v>800</v>
      </c>
      <c r="L54" s="139">
        <f t="shared" si="8"/>
        <v>5.6000000000000005</v>
      </c>
      <c r="M54" s="76"/>
      <c r="N54" s="137">
        <f t="shared" si="2"/>
        <v>0</v>
      </c>
      <c r="O54" s="87">
        <f t="shared" si="6"/>
        <v>0</v>
      </c>
    </row>
    <row r="55" spans="1:63" x14ac:dyDescent="0.3">
      <c r="B55" s="80" t="s">
        <v>46</v>
      </c>
      <c r="C55" s="73"/>
      <c r="D55" s="7" t="s">
        <v>27</v>
      </c>
      <c r="E55" s="73"/>
      <c r="F55" s="138">
        <v>6.7000000000000004E-2</v>
      </c>
      <c r="G55" s="27">
        <f>0.64*$F$18</f>
        <v>512</v>
      </c>
      <c r="H55" s="139">
        <f t="shared" si="7"/>
        <v>34.304000000000002</v>
      </c>
      <c r="I55" s="76"/>
      <c r="J55" s="138">
        <v>6.7000000000000004E-2</v>
      </c>
      <c r="K55" s="28">
        <f>G55</f>
        <v>512</v>
      </c>
      <c r="L55" s="139">
        <f t="shared" si="8"/>
        <v>34.304000000000002</v>
      </c>
      <c r="M55" s="76"/>
      <c r="N55" s="137">
        <f t="shared" si="2"/>
        <v>0</v>
      </c>
      <c r="O55" s="87">
        <f t="shared" si="6"/>
        <v>0</v>
      </c>
      <c r="S55" s="127"/>
    </row>
    <row r="56" spans="1:63" x14ac:dyDescent="0.3">
      <c r="B56" s="80" t="s">
        <v>47</v>
      </c>
      <c r="C56" s="73"/>
      <c r="D56" s="7" t="s">
        <v>27</v>
      </c>
      <c r="E56" s="73"/>
      <c r="F56" s="138">
        <v>0.104</v>
      </c>
      <c r="G56" s="27">
        <f>0.18*$F$18</f>
        <v>144</v>
      </c>
      <c r="H56" s="139">
        <f t="shared" si="7"/>
        <v>14.975999999999999</v>
      </c>
      <c r="I56" s="76"/>
      <c r="J56" s="138">
        <v>0.104</v>
      </c>
      <c r="K56" s="28">
        <f>G56</f>
        <v>144</v>
      </c>
      <c r="L56" s="139">
        <f t="shared" si="8"/>
        <v>14.975999999999999</v>
      </c>
      <c r="M56" s="76"/>
      <c r="N56" s="137">
        <f t="shared" si="2"/>
        <v>0</v>
      </c>
      <c r="O56" s="87">
        <f t="shared" si="6"/>
        <v>0</v>
      </c>
      <c r="S56" s="127"/>
    </row>
    <row r="57" spans="1:63" x14ac:dyDescent="0.3">
      <c r="B57" s="64" t="s">
        <v>48</v>
      </c>
      <c r="C57" s="73"/>
      <c r="D57" s="7" t="s">
        <v>27</v>
      </c>
      <c r="E57" s="73"/>
      <c r="F57" s="138">
        <v>0.124</v>
      </c>
      <c r="G57" s="27">
        <f>0.18*$F$18</f>
        <v>144</v>
      </c>
      <c r="H57" s="139">
        <f t="shared" si="7"/>
        <v>17.856000000000002</v>
      </c>
      <c r="I57" s="76"/>
      <c r="J57" s="138">
        <v>0.124</v>
      </c>
      <c r="K57" s="28">
        <f>G57</f>
        <v>144</v>
      </c>
      <c r="L57" s="139">
        <f t="shared" si="8"/>
        <v>17.856000000000002</v>
      </c>
      <c r="M57" s="76"/>
      <c r="N57" s="137">
        <f t="shared" si="2"/>
        <v>0</v>
      </c>
      <c r="O57" s="87">
        <f t="shared" si="6"/>
        <v>0</v>
      </c>
      <c r="S57" s="127"/>
    </row>
    <row r="58" spans="1:63" s="92" customFormat="1" x14ac:dyDescent="0.25">
      <c r="B58" s="89" t="s">
        <v>49</v>
      </c>
      <c r="C58" s="90"/>
      <c r="D58" s="29" t="s">
        <v>27</v>
      </c>
      <c r="E58" s="90"/>
      <c r="F58" s="138">
        <v>7.4999999999999997E-2</v>
      </c>
      <c r="G58" s="30">
        <f>IF(AND($T$1=1, F18&gt;=600), 600, IF(AND($T$1=1, AND(F18&lt;600, F18&gt;=0)), F18, IF(AND($T$1=2, F18&gt;=1000), 1000, IF(AND($T$1=2, AND(F18&lt;1000, F18&gt;=0)), F18))))</f>
        <v>600</v>
      </c>
      <c r="H58" s="139">
        <f t="shared" si="7"/>
        <v>45</v>
      </c>
      <c r="I58" s="91"/>
      <c r="J58" s="138">
        <v>7.4999999999999997E-2</v>
      </c>
      <c r="K58" s="31">
        <f>G58</f>
        <v>600</v>
      </c>
      <c r="L58" s="139">
        <f t="shared" si="8"/>
        <v>45</v>
      </c>
      <c r="M58" s="91"/>
      <c r="N58" s="140">
        <f t="shared" si="2"/>
        <v>0</v>
      </c>
      <c r="O58" s="87">
        <f t="shared" si="6"/>
        <v>0</v>
      </c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</row>
    <row r="59" spans="1:63" s="92" customFormat="1" ht="15" thickBot="1" x14ac:dyDescent="0.3">
      <c r="B59" s="89" t="s">
        <v>50</v>
      </c>
      <c r="C59" s="90"/>
      <c r="D59" s="29" t="s">
        <v>27</v>
      </c>
      <c r="E59" s="90"/>
      <c r="F59" s="138">
        <v>8.7999999999999995E-2</v>
      </c>
      <c r="G59" s="30">
        <f>IF(AND($T$1=1, F18&gt;=600), F18-600, IF(AND($T$1=1, AND(F18&lt;600, F18&gt;=0)), 0, IF(AND($T$1=2, F18&gt;=1000), F18-1000, IF(AND($T$1=2, AND(F18&lt;1000, F18&gt;=0)), 0))))</f>
        <v>200</v>
      </c>
      <c r="H59" s="139">
        <f t="shared" si="7"/>
        <v>17.599999999999998</v>
      </c>
      <c r="I59" s="91"/>
      <c r="J59" s="138">
        <v>8.7999999999999995E-2</v>
      </c>
      <c r="K59" s="31">
        <f>G59</f>
        <v>200</v>
      </c>
      <c r="L59" s="139">
        <f t="shared" si="8"/>
        <v>17.599999999999998</v>
      </c>
      <c r="M59" s="91"/>
      <c r="N59" s="140">
        <f t="shared" si="2"/>
        <v>0</v>
      </c>
      <c r="O59" s="87">
        <f t="shared" si="6"/>
        <v>0</v>
      </c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</row>
    <row r="60" spans="1:63" s="4" customFormat="1" ht="15" thickBot="1" x14ac:dyDescent="0.35">
      <c r="A60" s="60"/>
      <c r="B60" s="32"/>
      <c r="C60" s="33"/>
      <c r="D60" s="124"/>
      <c r="E60" s="33"/>
      <c r="F60" s="35"/>
      <c r="G60" s="36"/>
      <c r="H60" s="122"/>
      <c r="I60" s="123"/>
      <c r="J60" s="35"/>
      <c r="K60" s="39"/>
      <c r="L60" s="122"/>
      <c r="M60" s="123"/>
      <c r="N60" s="40"/>
      <c r="O60" s="41"/>
      <c r="P60" s="60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</row>
    <row r="61" spans="1:63" x14ac:dyDescent="0.3">
      <c r="B61" s="93" t="s">
        <v>51</v>
      </c>
      <c r="C61" s="73"/>
      <c r="D61" s="73"/>
      <c r="E61" s="73"/>
      <c r="F61" s="94"/>
      <c r="G61" s="95"/>
      <c r="H61" s="141">
        <f>SUM(H51:H57,H50)</f>
        <v>121.01308320000001</v>
      </c>
      <c r="I61" s="96"/>
      <c r="J61" s="97"/>
      <c r="K61" s="97"/>
      <c r="L61" s="144">
        <f>SUM(L51:L57,L50)</f>
        <v>119.5788256</v>
      </c>
      <c r="M61" s="145"/>
      <c r="N61" s="146">
        <f>L61-H61</f>
        <v>-1.4342576000000093</v>
      </c>
      <c r="O61" s="98">
        <f>IF((H61)=0,"",(N61/H61))</f>
        <v>-1.1852087080779455E-2</v>
      </c>
      <c r="S61" s="127"/>
    </row>
    <row r="62" spans="1:63" x14ac:dyDescent="0.3">
      <c r="B62" s="99" t="s">
        <v>52</v>
      </c>
      <c r="C62" s="73"/>
      <c r="D62" s="73"/>
      <c r="E62" s="73"/>
      <c r="F62" s="100">
        <v>0.13</v>
      </c>
      <c r="G62" s="101"/>
      <c r="H62" s="142">
        <f>H61*F62</f>
        <v>15.731700816000002</v>
      </c>
      <c r="I62" s="102"/>
      <c r="J62" s="103">
        <v>0.13</v>
      </c>
      <c r="K62" s="102"/>
      <c r="L62" s="147">
        <f>L61*J62</f>
        <v>15.545247328</v>
      </c>
      <c r="M62" s="148"/>
      <c r="N62" s="149">
        <f>L62-H62</f>
        <v>-0.1864534880000015</v>
      </c>
      <c r="O62" s="104">
        <f>IF((H62)=0,"",(N62/H62))</f>
        <v>-1.1852087080779472E-2</v>
      </c>
      <c r="S62" s="127"/>
    </row>
    <row r="63" spans="1:63" x14ac:dyDescent="0.3">
      <c r="B63" s="105" t="s">
        <v>53</v>
      </c>
      <c r="C63" s="73"/>
      <c r="D63" s="73"/>
      <c r="E63" s="73"/>
      <c r="F63" s="106"/>
      <c r="G63" s="101"/>
      <c r="H63" s="142">
        <f>H61+H62</f>
        <v>136.74478401600001</v>
      </c>
      <c r="I63" s="102"/>
      <c r="J63" s="102"/>
      <c r="K63" s="102"/>
      <c r="L63" s="147">
        <f>L61+L62</f>
        <v>135.124072928</v>
      </c>
      <c r="M63" s="148"/>
      <c r="N63" s="149">
        <f>L63-H63</f>
        <v>-1.6207110880000073</v>
      </c>
      <c r="O63" s="104">
        <f>IF((H63)=0,"",(N63/H63))</f>
        <v>-1.1852087080779431E-2</v>
      </c>
      <c r="S63" s="127"/>
    </row>
    <row r="64" spans="1:63" ht="14.4" customHeight="1" x14ac:dyDescent="0.3">
      <c r="B64" s="172" t="s">
        <v>54</v>
      </c>
      <c r="C64" s="172"/>
      <c r="D64" s="172"/>
      <c r="E64" s="73"/>
      <c r="F64" s="106"/>
      <c r="G64" s="101"/>
      <c r="H64" s="143">
        <f>ROUND(-H63*10%,2)</f>
        <v>-13.67</v>
      </c>
      <c r="I64" s="102"/>
      <c r="J64" s="102"/>
      <c r="K64" s="102"/>
      <c r="L64" s="150">
        <f>ROUND(-L63*10%,2)</f>
        <v>-13.51</v>
      </c>
      <c r="M64" s="148"/>
      <c r="N64" s="151">
        <f>L64-H64</f>
        <v>0.16000000000000014</v>
      </c>
      <c r="O64" s="107">
        <f>IF((H64)=0,"",(N64/H64))</f>
        <v>-1.1704462326261898E-2</v>
      </c>
    </row>
    <row r="65" spans="1:63" s="4" customFormat="1" ht="15" thickBot="1" x14ac:dyDescent="0.35">
      <c r="A65" s="60"/>
      <c r="B65" s="173" t="s">
        <v>55</v>
      </c>
      <c r="C65" s="173"/>
      <c r="D65" s="173"/>
      <c r="E65" s="42"/>
      <c r="F65" s="43"/>
      <c r="G65" s="44"/>
      <c r="H65" s="45">
        <f>H63+H64</f>
        <v>123.07478401600001</v>
      </c>
      <c r="I65" s="46"/>
      <c r="J65" s="46"/>
      <c r="K65" s="46"/>
      <c r="L65" s="47">
        <f>L63+L64</f>
        <v>121.614072928</v>
      </c>
      <c r="M65" s="48"/>
      <c r="N65" s="49">
        <f>L65-H65</f>
        <v>-1.4607110880000107</v>
      </c>
      <c r="O65" s="50">
        <f>IF((H65)=0,"",(N65/H65))</f>
        <v>-1.1868483862706718E-2</v>
      </c>
      <c r="P65" s="60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</row>
    <row r="66" spans="1:63" s="4" customFormat="1" ht="15" thickBot="1" x14ac:dyDescent="0.35">
      <c r="A66" s="60"/>
      <c r="B66" s="32"/>
      <c r="C66" s="33"/>
      <c r="D66" s="34"/>
      <c r="E66" s="33"/>
      <c r="F66" s="35"/>
      <c r="G66" s="36"/>
      <c r="H66" s="37"/>
      <c r="I66" s="38"/>
      <c r="J66" s="35"/>
      <c r="K66" s="39"/>
      <c r="L66" s="37"/>
      <c r="M66" s="123"/>
      <c r="N66" s="40"/>
      <c r="O66" s="41"/>
      <c r="P66" s="60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</row>
    <row r="67" spans="1:63" s="92" customFormat="1" ht="13.2" x14ac:dyDescent="0.25">
      <c r="B67" s="108" t="s">
        <v>56</v>
      </c>
      <c r="C67" s="90"/>
      <c r="D67" s="90"/>
      <c r="E67" s="90"/>
      <c r="F67" s="109"/>
      <c r="G67" s="110"/>
      <c r="H67" s="152">
        <f>SUM(H58:H59,H50,H51:H54)</f>
        <v>116.4770832</v>
      </c>
      <c r="I67" s="111"/>
      <c r="J67" s="112"/>
      <c r="K67" s="112"/>
      <c r="L67" s="155">
        <f>SUM(L58:L59,L50,L51:L54)</f>
        <v>115.04282559999999</v>
      </c>
      <c r="M67" s="156"/>
      <c r="N67" s="157">
        <f>L67-H67</f>
        <v>-1.4342576000000093</v>
      </c>
      <c r="O67" s="98">
        <f>IF((H67)=0,"",(N67/H67))</f>
        <v>-1.2313646260674988E-2</v>
      </c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63" s="92" customFormat="1" ht="13.2" x14ac:dyDescent="0.25">
      <c r="B68" s="113" t="s">
        <v>52</v>
      </c>
      <c r="C68" s="90"/>
      <c r="D68" s="90"/>
      <c r="E68" s="90"/>
      <c r="F68" s="114">
        <v>0.13</v>
      </c>
      <c r="G68" s="110"/>
      <c r="H68" s="153">
        <f>H67*F68</f>
        <v>15.142020816</v>
      </c>
      <c r="I68" s="115"/>
      <c r="J68" s="116">
        <v>0.13</v>
      </c>
      <c r="K68" s="117"/>
      <c r="L68" s="158">
        <f>L67*J68</f>
        <v>14.955567327999999</v>
      </c>
      <c r="M68" s="159"/>
      <c r="N68" s="160">
        <f>L68-H68</f>
        <v>-0.1864534880000015</v>
      </c>
      <c r="O68" s="104">
        <f>IF((H68)=0,"",(N68/H68))</f>
        <v>-1.2313646260675005E-2</v>
      </c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63" s="92" customFormat="1" ht="13.2" x14ac:dyDescent="0.25">
      <c r="B69" s="118" t="s">
        <v>53</v>
      </c>
      <c r="C69" s="90"/>
      <c r="D69" s="90"/>
      <c r="E69" s="90"/>
      <c r="F69" s="119"/>
      <c r="G69" s="120"/>
      <c r="H69" s="153">
        <f>H67+H68</f>
        <v>131.61910401599999</v>
      </c>
      <c r="I69" s="115"/>
      <c r="J69" s="115"/>
      <c r="K69" s="115"/>
      <c r="L69" s="158">
        <f>L67+L68</f>
        <v>129.99839292799999</v>
      </c>
      <c r="M69" s="159"/>
      <c r="N69" s="160">
        <f>L69-H69</f>
        <v>-1.6207110880000073</v>
      </c>
      <c r="O69" s="104">
        <f>IF((H69)=0,"",(N69/H69))</f>
        <v>-1.2313646260674964E-2</v>
      </c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63" s="92" customFormat="1" ht="13.2" customHeight="1" x14ac:dyDescent="0.25">
      <c r="B70" s="174" t="s">
        <v>54</v>
      </c>
      <c r="C70" s="174"/>
      <c r="D70" s="174"/>
      <c r="E70" s="90"/>
      <c r="F70" s="119"/>
      <c r="G70" s="120"/>
      <c r="H70" s="154">
        <f>ROUND(-H69*10%,2)</f>
        <v>-13.16</v>
      </c>
      <c r="I70" s="115"/>
      <c r="J70" s="115"/>
      <c r="K70" s="115"/>
      <c r="L70" s="161">
        <f>ROUND(-L69*10%,2)</f>
        <v>-13</v>
      </c>
      <c r="M70" s="159"/>
      <c r="N70" s="162">
        <f>L70-H70</f>
        <v>0.16000000000000014</v>
      </c>
      <c r="O70" s="107">
        <f>IF((H70)=0,"",(N70/H70))</f>
        <v>-1.2158054711246211E-2</v>
      </c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63" s="4" customFormat="1" ht="15" thickBot="1" x14ac:dyDescent="0.35">
      <c r="A71" s="60"/>
      <c r="B71" s="173" t="s">
        <v>57</v>
      </c>
      <c r="C71" s="173"/>
      <c r="D71" s="173"/>
      <c r="E71" s="42"/>
      <c r="F71" s="43"/>
      <c r="G71" s="44"/>
      <c r="H71" s="45">
        <f>SUM(H69:H70)</f>
        <v>118.459104016</v>
      </c>
      <c r="I71" s="46"/>
      <c r="J71" s="46"/>
      <c r="K71" s="46"/>
      <c r="L71" s="47">
        <f>SUM(L69:L70)</f>
        <v>116.99839292799999</v>
      </c>
      <c r="M71" s="48"/>
      <c r="N71" s="49">
        <f>L71-H71</f>
        <v>-1.4607110880000107</v>
      </c>
      <c r="O71" s="50">
        <f>IF((H71)=0,"",(N71/H71))</f>
        <v>-1.2330931422566862E-2</v>
      </c>
      <c r="P71" s="60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</row>
    <row r="72" spans="1:63" s="4" customFormat="1" ht="15" thickBot="1" x14ac:dyDescent="0.35">
      <c r="A72" s="60"/>
      <c r="B72" s="32"/>
      <c r="C72" s="33"/>
      <c r="D72" s="34"/>
      <c r="E72" s="33"/>
      <c r="F72" s="35"/>
      <c r="G72" s="36"/>
      <c r="H72" s="122"/>
      <c r="I72" s="123"/>
      <c r="J72" s="35"/>
      <c r="K72" s="39"/>
      <c r="L72" s="37"/>
      <c r="M72" s="123"/>
      <c r="N72" s="40"/>
      <c r="O72" s="41"/>
      <c r="P72" s="60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</row>
    <row r="73" spans="1:63" x14ac:dyDescent="0.3">
      <c r="L73" s="88"/>
    </row>
    <row r="74" spans="1:63" x14ac:dyDescent="0.3">
      <c r="B74" s="65" t="s">
        <v>58</v>
      </c>
      <c r="F74" s="51">
        <v>3.7699999999999997E-2</v>
      </c>
      <c r="J74" s="51">
        <v>3.7600000000000001E-2</v>
      </c>
    </row>
    <row r="76" spans="1:63" x14ac:dyDescent="0.3">
      <c r="L76" s="56"/>
      <c r="M76" s="56"/>
      <c r="N76" s="56"/>
      <c r="O76" s="56"/>
      <c r="P76" s="56"/>
    </row>
    <row r="77" spans="1:63" ht="16.2" x14ac:dyDescent="0.3">
      <c r="A77" s="121" t="s">
        <v>59</v>
      </c>
    </row>
    <row r="79" spans="1:63" x14ac:dyDescent="0.3">
      <c r="A79" s="60" t="s">
        <v>60</v>
      </c>
    </row>
    <row r="80" spans="1:63" x14ac:dyDescent="0.3">
      <c r="A80" s="60" t="s">
        <v>61</v>
      </c>
    </row>
    <row r="82" spans="1:29" x14ac:dyDescent="0.3">
      <c r="B82" s="60" t="s">
        <v>62</v>
      </c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</row>
    <row r="83" spans="1:29" x14ac:dyDescent="0.3">
      <c r="A83" s="64"/>
    </row>
    <row r="85" spans="1:29" ht="18.75" customHeight="1" x14ac:dyDescent="0.3">
      <c r="B85" s="175" t="s">
        <v>6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56"/>
    </row>
    <row r="86" spans="1:29" ht="18.75" customHeight="1" x14ac:dyDescent="0.3">
      <c r="B86" s="175" t="s">
        <v>7</v>
      </c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56"/>
    </row>
    <row r="87" spans="1:29" ht="7.5" customHeight="1" x14ac:dyDescent="0.3">
      <c r="L87" s="56"/>
      <c r="M87" s="56"/>
      <c r="N87" s="56"/>
      <c r="O87" s="56"/>
      <c r="P87" s="56"/>
    </row>
    <row r="88" spans="1:29" ht="7.5" customHeight="1" x14ac:dyDescent="0.3">
      <c r="L88" s="56"/>
      <c r="M88" s="56"/>
      <c r="N88" s="56"/>
      <c r="O88" s="56"/>
      <c r="P88" s="56"/>
    </row>
    <row r="89" spans="1:29" ht="15.6" x14ac:dyDescent="0.3">
      <c r="B89" s="61" t="s">
        <v>8</v>
      </c>
      <c r="D89" s="185" t="s">
        <v>66</v>
      </c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</row>
    <row r="90" spans="1:29" ht="7.5" customHeight="1" x14ac:dyDescent="0.3">
      <c r="B90" s="62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</row>
    <row r="91" spans="1:29" ht="15.6" x14ac:dyDescent="0.3">
      <c r="B91" s="61" t="s">
        <v>9</v>
      </c>
      <c r="D91" s="5" t="s">
        <v>10</v>
      </c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</row>
    <row r="92" spans="1:29" ht="15.6" x14ac:dyDescent="0.3">
      <c r="B92" s="62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</row>
    <row r="93" spans="1:29" ht="15" customHeight="1" x14ac:dyDescent="0.3">
      <c r="B93" s="64"/>
      <c r="D93" s="65" t="s">
        <v>11</v>
      </c>
      <c r="E93" s="65"/>
      <c r="F93" s="6">
        <v>100</v>
      </c>
      <c r="G93" s="65" t="s">
        <v>12</v>
      </c>
    </row>
    <row r="94" spans="1:29" x14ac:dyDescent="0.3">
      <c r="B94" s="64"/>
      <c r="G94" s="65"/>
    </row>
    <row r="95" spans="1:29" x14ac:dyDescent="0.3">
      <c r="B95" s="64"/>
      <c r="D95" s="66"/>
      <c r="E95" s="66"/>
      <c r="F95" s="176" t="s">
        <v>13</v>
      </c>
      <c r="G95" s="177"/>
      <c r="H95" s="178"/>
      <c r="J95" s="176" t="s">
        <v>14</v>
      </c>
      <c r="K95" s="177"/>
      <c r="L95" s="178"/>
      <c r="N95" s="176" t="s">
        <v>15</v>
      </c>
      <c r="O95" s="178"/>
    </row>
    <row r="96" spans="1:29" x14ac:dyDescent="0.3">
      <c r="B96" s="64"/>
      <c r="D96" s="179" t="s">
        <v>16</v>
      </c>
      <c r="E96" s="67"/>
      <c r="F96" s="68" t="s">
        <v>17</v>
      </c>
      <c r="G96" s="68" t="s">
        <v>18</v>
      </c>
      <c r="H96" s="69" t="s">
        <v>19</v>
      </c>
      <c r="J96" s="68" t="s">
        <v>17</v>
      </c>
      <c r="K96" s="70" t="s">
        <v>18</v>
      </c>
      <c r="L96" s="69" t="s">
        <v>19</v>
      </c>
      <c r="N96" s="181" t="s">
        <v>20</v>
      </c>
      <c r="O96" s="183" t="s">
        <v>21</v>
      </c>
    </row>
    <row r="97" spans="2:15" x14ac:dyDescent="0.3">
      <c r="B97" s="64"/>
      <c r="D97" s="180"/>
      <c r="E97" s="67"/>
      <c r="F97" s="71" t="s">
        <v>22</v>
      </c>
      <c r="G97" s="71"/>
      <c r="H97" s="72" t="s">
        <v>22</v>
      </c>
      <c r="J97" s="71" t="s">
        <v>22</v>
      </c>
      <c r="K97" s="72"/>
      <c r="L97" s="72" t="s">
        <v>22</v>
      </c>
      <c r="N97" s="182"/>
      <c r="O97" s="184"/>
    </row>
    <row r="98" spans="2:15" x14ac:dyDescent="0.3">
      <c r="B98" s="73" t="s">
        <v>23</v>
      </c>
      <c r="C98" s="73"/>
      <c r="D98" s="7" t="s">
        <v>24</v>
      </c>
      <c r="E98" s="73"/>
      <c r="F98" s="129">
        <v>13.11</v>
      </c>
      <c r="G98" s="74">
        <v>1</v>
      </c>
      <c r="H98" s="75">
        <f t="shared" ref="H98:H113" si="9">G98*F98</f>
        <v>13.11</v>
      </c>
      <c r="I98" s="76"/>
      <c r="J98" s="129">
        <v>14.42</v>
      </c>
      <c r="K98" s="77">
        <v>1</v>
      </c>
      <c r="L98" s="75">
        <f t="shared" ref="L98:L113" si="10">K98*J98</f>
        <v>14.42</v>
      </c>
      <c r="M98" s="76"/>
      <c r="N98" s="78">
        <f t="shared" ref="N98:N134" si="11">L98-H98</f>
        <v>1.3100000000000005</v>
      </c>
      <c r="O98" s="79">
        <f t="shared" ref="O98:O120" si="12">IF((H98)=0,"",(N98/H98))</f>
        <v>9.9923722349351679E-2</v>
      </c>
    </row>
    <row r="99" spans="2:15" x14ac:dyDescent="0.3">
      <c r="B99" s="73" t="s">
        <v>25</v>
      </c>
      <c r="C99" s="73"/>
      <c r="D99" s="7" t="s">
        <v>24</v>
      </c>
      <c r="E99" s="73"/>
      <c r="F99" s="133">
        <v>2.4900000000000002</v>
      </c>
      <c r="G99" s="74">
        <v>1</v>
      </c>
      <c r="H99" s="136">
        <f t="shared" si="9"/>
        <v>2.4900000000000002</v>
      </c>
      <c r="I99" s="76"/>
      <c r="J99" s="130"/>
      <c r="K99" s="77">
        <v>1</v>
      </c>
      <c r="L99" s="136">
        <f t="shared" si="10"/>
        <v>0</v>
      </c>
      <c r="M99" s="76"/>
      <c r="N99" s="137">
        <f t="shared" si="11"/>
        <v>-2.4900000000000002</v>
      </c>
      <c r="O99" s="79">
        <f t="shared" si="12"/>
        <v>-1</v>
      </c>
    </row>
    <row r="100" spans="2:15" x14ac:dyDescent="0.3">
      <c r="B100" s="9"/>
      <c r="C100" s="73"/>
      <c r="D100" s="7"/>
      <c r="E100" s="73"/>
      <c r="F100" s="134"/>
      <c r="G100" s="74">
        <v>1</v>
      </c>
      <c r="H100" s="136">
        <f t="shared" si="9"/>
        <v>0</v>
      </c>
      <c r="I100" s="76"/>
      <c r="J100" s="131"/>
      <c r="K100" s="77">
        <v>1</v>
      </c>
      <c r="L100" s="136">
        <f t="shared" si="10"/>
        <v>0</v>
      </c>
      <c r="M100" s="76"/>
      <c r="N100" s="137">
        <f t="shared" si="11"/>
        <v>0</v>
      </c>
      <c r="O100" s="79" t="str">
        <f t="shared" si="12"/>
        <v/>
      </c>
    </row>
    <row r="101" spans="2:15" x14ac:dyDescent="0.3">
      <c r="B101" s="9"/>
      <c r="C101" s="73"/>
      <c r="D101" s="7"/>
      <c r="E101" s="73"/>
      <c r="F101" s="134"/>
      <c r="G101" s="74">
        <v>1</v>
      </c>
      <c r="H101" s="136">
        <f t="shared" si="9"/>
        <v>0</v>
      </c>
      <c r="I101" s="76"/>
      <c r="J101" s="131"/>
      <c r="K101" s="77">
        <v>1</v>
      </c>
      <c r="L101" s="136">
        <f t="shared" si="10"/>
        <v>0</v>
      </c>
      <c r="M101" s="76"/>
      <c r="N101" s="137">
        <f t="shared" si="11"/>
        <v>0</v>
      </c>
      <c r="O101" s="79" t="str">
        <f t="shared" si="12"/>
        <v/>
      </c>
    </row>
    <row r="102" spans="2:15" x14ac:dyDescent="0.3">
      <c r="B102" s="10"/>
      <c r="C102" s="73"/>
      <c r="D102" s="7"/>
      <c r="E102" s="73"/>
      <c r="F102" s="134"/>
      <c r="G102" s="74">
        <v>1</v>
      </c>
      <c r="H102" s="136">
        <f t="shared" si="9"/>
        <v>0</v>
      </c>
      <c r="I102" s="76"/>
      <c r="J102" s="131"/>
      <c r="K102" s="77">
        <v>1</v>
      </c>
      <c r="L102" s="136">
        <f t="shared" si="10"/>
        <v>0</v>
      </c>
      <c r="M102" s="76"/>
      <c r="N102" s="137">
        <f t="shared" si="11"/>
        <v>0</v>
      </c>
      <c r="O102" s="79" t="str">
        <f t="shared" si="12"/>
        <v/>
      </c>
    </row>
    <row r="103" spans="2:15" x14ac:dyDescent="0.3">
      <c r="B103" s="10"/>
      <c r="C103" s="73"/>
      <c r="D103" s="7"/>
      <c r="E103" s="73"/>
      <c r="F103" s="134"/>
      <c r="G103" s="74">
        <v>1</v>
      </c>
      <c r="H103" s="136">
        <f t="shared" si="9"/>
        <v>0</v>
      </c>
      <c r="I103" s="76"/>
      <c r="J103" s="131"/>
      <c r="K103" s="77">
        <v>1</v>
      </c>
      <c r="L103" s="136">
        <f t="shared" si="10"/>
        <v>0</v>
      </c>
      <c r="M103" s="76"/>
      <c r="N103" s="137">
        <f t="shared" si="11"/>
        <v>0</v>
      </c>
      <c r="O103" s="79" t="str">
        <f t="shared" si="12"/>
        <v/>
      </c>
    </row>
    <row r="104" spans="2:15" x14ac:dyDescent="0.3">
      <c r="B104" s="73" t="s">
        <v>26</v>
      </c>
      <c r="C104" s="73"/>
      <c r="D104" s="7" t="s">
        <v>27</v>
      </c>
      <c r="E104" s="73"/>
      <c r="F104" s="135">
        <v>1.43E-2</v>
      </c>
      <c r="G104" s="74">
        <f>$F$93</f>
        <v>100</v>
      </c>
      <c r="H104" s="136">
        <f t="shared" si="9"/>
        <v>1.43</v>
      </c>
      <c r="I104" s="76"/>
      <c r="J104" s="132">
        <v>1.5699999999999999E-2</v>
      </c>
      <c r="K104" s="74">
        <f>$F$93</f>
        <v>100</v>
      </c>
      <c r="L104" s="136">
        <f t="shared" si="10"/>
        <v>1.5699999999999998</v>
      </c>
      <c r="M104" s="76"/>
      <c r="N104" s="137">
        <f t="shared" si="11"/>
        <v>0.1399999999999999</v>
      </c>
      <c r="O104" s="79">
        <f t="shared" si="12"/>
        <v>9.7902097902097834E-2</v>
      </c>
    </row>
    <row r="105" spans="2:15" x14ac:dyDescent="0.3">
      <c r="B105" s="73" t="s">
        <v>28</v>
      </c>
      <c r="C105" s="73"/>
      <c r="D105" s="7" t="s">
        <v>24</v>
      </c>
      <c r="E105" s="73"/>
      <c r="F105" s="135">
        <v>-0.03</v>
      </c>
      <c r="G105" s="74">
        <v>1</v>
      </c>
      <c r="H105" s="136">
        <f t="shared" si="9"/>
        <v>-0.03</v>
      </c>
      <c r="I105" s="76"/>
      <c r="J105" s="132"/>
      <c r="K105" s="74">
        <v>1</v>
      </c>
      <c r="L105" s="136">
        <f t="shared" si="10"/>
        <v>0</v>
      </c>
      <c r="M105" s="76"/>
      <c r="N105" s="137">
        <f t="shared" si="11"/>
        <v>0.03</v>
      </c>
      <c r="O105" s="79">
        <f t="shared" si="12"/>
        <v>-1</v>
      </c>
    </row>
    <row r="106" spans="2:15" x14ac:dyDescent="0.3">
      <c r="B106" s="73" t="s">
        <v>29</v>
      </c>
      <c r="C106" s="73"/>
      <c r="D106" s="7" t="s">
        <v>27</v>
      </c>
      <c r="E106" s="73"/>
      <c r="F106" s="135">
        <v>2.9999999999999997E-4</v>
      </c>
      <c r="G106" s="74">
        <f t="shared" ref="G106:G108" si="13">$F$93</f>
        <v>100</v>
      </c>
      <c r="H106" s="136">
        <f t="shared" si="9"/>
        <v>0.03</v>
      </c>
      <c r="I106" s="76"/>
      <c r="J106" s="171">
        <v>0</v>
      </c>
      <c r="K106" s="74">
        <f t="shared" ref="K106:K108" si="14">$F$93</f>
        <v>100</v>
      </c>
      <c r="L106" s="136">
        <f t="shared" si="10"/>
        <v>0</v>
      </c>
      <c r="M106" s="76"/>
      <c r="N106" s="137">
        <f t="shared" si="11"/>
        <v>-0.03</v>
      </c>
      <c r="O106" s="79">
        <f t="shared" si="12"/>
        <v>-1</v>
      </c>
    </row>
    <row r="107" spans="2:15" x14ac:dyDescent="0.3">
      <c r="B107" s="11" t="s">
        <v>30</v>
      </c>
      <c r="C107" s="73"/>
      <c r="D107" s="7" t="s">
        <v>27</v>
      </c>
      <c r="E107" s="73"/>
      <c r="F107" s="135">
        <v>1.8E-3</v>
      </c>
      <c r="G107" s="74">
        <f t="shared" si="13"/>
        <v>100</v>
      </c>
      <c r="H107" s="136">
        <f t="shared" si="9"/>
        <v>0.18</v>
      </c>
      <c r="I107" s="76"/>
      <c r="J107" s="132"/>
      <c r="K107" s="74">
        <f t="shared" si="14"/>
        <v>100</v>
      </c>
      <c r="L107" s="136">
        <f t="shared" si="10"/>
        <v>0</v>
      </c>
      <c r="M107" s="76"/>
      <c r="N107" s="137">
        <f t="shared" si="11"/>
        <v>-0.18</v>
      </c>
      <c r="O107" s="79">
        <f t="shared" si="12"/>
        <v>-1</v>
      </c>
    </row>
    <row r="108" spans="2:15" x14ac:dyDescent="0.3">
      <c r="B108" s="11" t="s">
        <v>31</v>
      </c>
      <c r="C108" s="73"/>
      <c r="D108" s="7" t="s">
        <v>27</v>
      </c>
      <c r="E108" s="73"/>
      <c r="F108" s="135">
        <v>-2.9999999999999997E-4</v>
      </c>
      <c r="G108" s="74">
        <f t="shared" si="13"/>
        <v>100</v>
      </c>
      <c r="H108" s="136">
        <f t="shared" si="9"/>
        <v>-0.03</v>
      </c>
      <c r="I108" s="76"/>
      <c r="J108" s="132"/>
      <c r="K108" s="74">
        <f t="shared" si="14"/>
        <v>100</v>
      </c>
      <c r="L108" s="136">
        <f t="shared" si="10"/>
        <v>0</v>
      </c>
      <c r="M108" s="76"/>
      <c r="N108" s="137">
        <f t="shared" si="11"/>
        <v>0.03</v>
      </c>
      <c r="O108" s="79">
        <f t="shared" si="12"/>
        <v>-1</v>
      </c>
    </row>
    <row r="109" spans="2:15" x14ac:dyDescent="0.3">
      <c r="B109" s="11" t="s">
        <v>32</v>
      </c>
      <c r="C109" s="73"/>
      <c r="D109" s="7" t="s">
        <v>24</v>
      </c>
      <c r="E109" s="73"/>
      <c r="F109" s="135">
        <v>0</v>
      </c>
      <c r="G109" s="74">
        <v>1</v>
      </c>
      <c r="H109" s="136">
        <f t="shared" si="9"/>
        <v>0</v>
      </c>
      <c r="I109" s="76"/>
      <c r="J109" s="132">
        <v>0.77</v>
      </c>
      <c r="K109" s="74">
        <v>1</v>
      </c>
      <c r="L109" s="136">
        <f t="shared" si="10"/>
        <v>0.77</v>
      </c>
      <c r="M109" s="76"/>
      <c r="N109" s="137">
        <f t="shared" si="11"/>
        <v>0.77</v>
      </c>
      <c r="O109" s="79" t="str">
        <f t="shared" si="12"/>
        <v/>
      </c>
    </row>
    <row r="110" spans="2:15" x14ac:dyDescent="0.3">
      <c r="B110" s="12" t="str">
        <f>+$B$35</f>
        <v>Rate Rider for Disposition of Account 1576</v>
      </c>
      <c r="C110" s="73"/>
      <c r="D110" s="7" t="s">
        <v>27</v>
      </c>
      <c r="E110" s="73"/>
      <c r="F110" s="134"/>
      <c r="G110" s="74">
        <f t="shared" ref="G110:G113" si="15">$F$93</f>
        <v>100</v>
      </c>
      <c r="H110" s="136">
        <f t="shared" si="9"/>
        <v>0</v>
      </c>
      <c r="I110" s="76"/>
      <c r="J110" s="132">
        <v>-5.9999999999999995E-4</v>
      </c>
      <c r="K110" s="74">
        <f t="shared" ref="K110:K113" si="16">$F$93</f>
        <v>100</v>
      </c>
      <c r="L110" s="136">
        <f t="shared" si="10"/>
        <v>-0.06</v>
      </c>
      <c r="M110" s="76"/>
      <c r="N110" s="137">
        <f t="shared" si="11"/>
        <v>-0.06</v>
      </c>
      <c r="O110" s="79" t="str">
        <f t="shared" si="12"/>
        <v/>
      </c>
    </row>
    <row r="111" spans="2:15" x14ac:dyDescent="0.3">
      <c r="B111" s="12" t="str">
        <f>+$B$36</f>
        <v xml:space="preserve">Rate Rider for Disposition of CGAAP CWIP differential </v>
      </c>
      <c r="C111" s="73"/>
      <c r="D111" s="7" t="s">
        <v>27</v>
      </c>
      <c r="E111" s="73"/>
      <c r="F111" s="134"/>
      <c r="G111" s="74">
        <f t="shared" si="15"/>
        <v>100</v>
      </c>
      <c r="H111" s="136">
        <f t="shared" si="9"/>
        <v>0</v>
      </c>
      <c r="I111" s="76"/>
      <c r="J111" s="132">
        <v>2.9999999999999997E-4</v>
      </c>
      <c r="K111" s="74">
        <f t="shared" si="16"/>
        <v>100</v>
      </c>
      <c r="L111" s="136">
        <f t="shared" si="10"/>
        <v>0.03</v>
      </c>
      <c r="M111" s="76"/>
      <c r="N111" s="137">
        <f t="shared" si="11"/>
        <v>0.03</v>
      </c>
      <c r="O111" s="79" t="str">
        <f t="shared" si="12"/>
        <v/>
      </c>
    </row>
    <row r="112" spans="2:15" x14ac:dyDescent="0.3">
      <c r="B112" s="12" t="str">
        <f>+$B$37</f>
        <v xml:space="preserve">Rate Rider for Disposition of Incremental Capital Expenditures </v>
      </c>
      <c r="C112" s="73"/>
      <c r="D112" s="7" t="s">
        <v>27</v>
      </c>
      <c r="E112" s="73"/>
      <c r="F112" s="131"/>
      <c r="G112" s="74">
        <f t="shared" si="15"/>
        <v>100</v>
      </c>
      <c r="H112" s="136">
        <f t="shared" si="9"/>
        <v>0</v>
      </c>
      <c r="I112" s="76"/>
      <c r="J112" s="132">
        <v>2.0000000000000001E-4</v>
      </c>
      <c r="K112" s="74">
        <f t="shared" si="16"/>
        <v>100</v>
      </c>
      <c r="L112" s="136">
        <f t="shared" si="10"/>
        <v>0.02</v>
      </c>
      <c r="M112" s="76"/>
      <c r="N112" s="137">
        <f t="shared" si="11"/>
        <v>0.02</v>
      </c>
      <c r="O112" s="79" t="str">
        <f t="shared" si="12"/>
        <v/>
      </c>
    </row>
    <row r="113" spans="1:63" x14ac:dyDescent="0.3">
      <c r="B113" s="12"/>
      <c r="C113" s="73"/>
      <c r="D113" s="7"/>
      <c r="E113" s="73"/>
      <c r="F113" s="131"/>
      <c r="G113" s="74">
        <f t="shared" si="15"/>
        <v>100</v>
      </c>
      <c r="H113" s="136">
        <f t="shared" si="9"/>
        <v>0</v>
      </c>
      <c r="I113" s="76"/>
      <c r="J113" s="131"/>
      <c r="K113" s="74">
        <f t="shared" si="16"/>
        <v>100</v>
      </c>
      <c r="L113" s="136">
        <f t="shared" si="10"/>
        <v>0</v>
      </c>
      <c r="M113" s="76"/>
      <c r="N113" s="137">
        <f t="shared" si="11"/>
        <v>0</v>
      </c>
      <c r="O113" s="79" t="str">
        <f t="shared" si="12"/>
        <v/>
      </c>
    </row>
    <row r="114" spans="1:63" s="4" customFormat="1" x14ac:dyDescent="0.3">
      <c r="A114" s="60"/>
      <c r="B114" s="19" t="s">
        <v>33</v>
      </c>
      <c r="C114" s="20"/>
      <c r="D114" s="20"/>
      <c r="E114" s="20"/>
      <c r="F114" s="21"/>
      <c r="G114" s="22"/>
      <c r="H114" s="23">
        <f>SUM(H98:H113)</f>
        <v>17.18</v>
      </c>
      <c r="I114" s="13"/>
      <c r="J114" s="14"/>
      <c r="K114" s="24"/>
      <c r="L114" s="23">
        <f>SUM(L98:L113)</f>
        <v>16.750000000000004</v>
      </c>
      <c r="M114" s="13"/>
      <c r="N114" s="15">
        <f t="shared" si="11"/>
        <v>-0.42999999999999616</v>
      </c>
      <c r="O114" s="16">
        <f t="shared" si="12"/>
        <v>-2.5029103608847275E-2</v>
      </c>
      <c r="P114" s="60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</row>
    <row r="115" spans="1:63" x14ac:dyDescent="0.3">
      <c r="B115" s="17" t="s">
        <v>34</v>
      </c>
      <c r="C115" s="73"/>
      <c r="D115" s="7" t="s">
        <v>27</v>
      </c>
      <c r="E115" s="73"/>
      <c r="F115" s="135">
        <v>2.9999999999999997E-4</v>
      </c>
      <c r="G115" s="74">
        <f>$F$93</f>
        <v>100</v>
      </c>
      <c r="H115" s="136">
        <f t="shared" ref="H115:H121" si="17">G115*F115</f>
        <v>0.03</v>
      </c>
      <c r="I115" s="76"/>
      <c r="J115" s="135">
        <v>-5.0000000000000001E-4</v>
      </c>
      <c r="K115" s="74">
        <f>$F$93</f>
        <v>100</v>
      </c>
      <c r="L115" s="136">
        <f t="shared" ref="L115:L121" si="18">K115*J115</f>
        <v>-0.05</v>
      </c>
      <c r="M115" s="76"/>
      <c r="N115" s="137">
        <f t="shared" si="11"/>
        <v>-0.08</v>
      </c>
      <c r="O115" s="79">
        <f t="shared" si="12"/>
        <v>-2.666666666666667</v>
      </c>
    </row>
    <row r="116" spans="1:63" x14ac:dyDescent="0.3">
      <c r="B116" s="17"/>
      <c r="C116" s="73"/>
      <c r="D116" s="7"/>
      <c r="E116" s="73"/>
      <c r="F116" s="8"/>
      <c r="G116" s="74">
        <f t="shared" ref="G116:G119" si="19">$F$93</f>
        <v>100</v>
      </c>
      <c r="H116" s="136">
        <f t="shared" si="17"/>
        <v>0</v>
      </c>
      <c r="I116" s="82"/>
      <c r="J116" s="8"/>
      <c r="K116" s="74">
        <f t="shared" ref="K116:K119" si="20">$F$93</f>
        <v>100</v>
      </c>
      <c r="L116" s="136">
        <f t="shared" si="18"/>
        <v>0</v>
      </c>
      <c r="M116" s="83"/>
      <c r="N116" s="137">
        <f t="shared" si="11"/>
        <v>0</v>
      </c>
      <c r="O116" s="79" t="str">
        <f t="shared" si="12"/>
        <v/>
      </c>
    </row>
    <row r="117" spans="1:63" x14ac:dyDescent="0.3">
      <c r="B117" s="17"/>
      <c r="C117" s="73"/>
      <c r="D117" s="7"/>
      <c r="E117" s="73"/>
      <c r="F117" s="8"/>
      <c r="G117" s="74">
        <f t="shared" si="19"/>
        <v>100</v>
      </c>
      <c r="H117" s="136">
        <f t="shared" si="17"/>
        <v>0</v>
      </c>
      <c r="I117" s="82"/>
      <c r="J117" s="8"/>
      <c r="K117" s="74">
        <f t="shared" si="20"/>
        <v>100</v>
      </c>
      <c r="L117" s="136">
        <f t="shared" si="18"/>
        <v>0</v>
      </c>
      <c r="M117" s="83"/>
      <c r="N117" s="137">
        <f t="shared" si="11"/>
        <v>0</v>
      </c>
      <c r="O117" s="79" t="str">
        <f t="shared" si="12"/>
        <v/>
      </c>
    </row>
    <row r="118" spans="1:63" x14ac:dyDescent="0.3">
      <c r="B118" s="17"/>
      <c r="C118" s="73"/>
      <c r="D118" s="7"/>
      <c r="E118" s="73"/>
      <c r="F118" s="8"/>
      <c r="G118" s="74">
        <f t="shared" si="19"/>
        <v>100</v>
      </c>
      <c r="H118" s="136">
        <f t="shared" si="17"/>
        <v>0</v>
      </c>
      <c r="I118" s="82"/>
      <c r="J118" s="8"/>
      <c r="K118" s="74">
        <f t="shared" si="20"/>
        <v>100</v>
      </c>
      <c r="L118" s="136">
        <f t="shared" si="18"/>
        <v>0</v>
      </c>
      <c r="M118" s="83"/>
      <c r="N118" s="137">
        <f t="shared" si="11"/>
        <v>0</v>
      </c>
      <c r="O118" s="79" t="str">
        <f t="shared" si="12"/>
        <v/>
      </c>
    </row>
    <row r="119" spans="1:63" x14ac:dyDescent="0.3">
      <c r="B119" s="80" t="s">
        <v>35</v>
      </c>
      <c r="C119" s="73"/>
      <c r="D119" s="7" t="s">
        <v>27</v>
      </c>
      <c r="E119" s="73"/>
      <c r="F119" s="135">
        <v>2.0000000000000001E-4</v>
      </c>
      <c r="G119" s="74">
        <f t="shared" si="19"/>
        <v>100</v>
      </c>
      <c r="H119" s="136">
        <f t="shared" si="17"/>
        <v>0.02</v>
      </c>
      <c r="I119" s="76"/>
      <c r="J119" s="135">
        <v>4.0000000000000002E-4</v>
      </c>
      <c r="K119" s="74">
        <f t="shared" si="20"/>
        <v>100</v>
      </c>
      <c r="L119" s="136">
        <f t="shared" si="18"/>
        <v>0.04</v>
      </c>
      <c r="M119" s="76"/>
      <c r="N119" s="137">
        <f t="shared" si="11"/>
        <v>0.02</v>
      </c>
      <c r="O119" s="79">
        <f t="shared" si="12"/>
        <v>1</v>
      </c>
    </row>
    <row r="120" spans="1:63" x14ac:dyDescent="0.3">
      <c r="B120" s="80" t="s">
        <v>36</v>
      </c>
      <c r="C120" s="73"/>
      <c r="D120" s="7" t="s">
        <v>27</v>
      </c>
      <c r="E120" s="73"/>
      <c r="F120" s="138">
        <f>IF(ISBLANK(D91)=TRUE, 0, IF(D91="TOU", 0.64*$F130+0.18*$F131+0.18*$F132, IF(AND(D91="non-TOU", G134&gt;0), F134,F133)))</f>
        <v>8.3919999999999995E-2</v>
      </c>
      <c r="G120" s="18">
        <f>$F$93*(1+$F$149)-$F$93</f>
        <v>3.7700000000000102</v>
      </c>
      <c r="H120" s="136">
        <f t="shared" si="17"/>
        <v>0.31637840000000084</v>
      </c>
      <c r="I120" s="76"/>
      <c r="J120" s="138">
        <f>0.64*$F130+0.18*$F131+0.18*$F132</f>
        <v>8.3919999999999995E-2</v>
      </c>
      <c r="K120" s="18">
        <f>$F$93*(1+$J$149)-$F$93</f>
        <v>3.7600000000000051</v>
      </c>
      <c r="L120" s="136">
        <f t="shared" si="18"/>
        <v>0.31553920000000041</v>
      </c>
      <c r="M120" s="76"/>
      <c r="N120" s="137">
        <f t="shared" si="11"/>
        <v>-8.3920000000042849E-4</v>
      </c>
      <c r="O120" s="79">
        <f t="shared" si="12"/>
        <v>-2.6525198939005516E-3</v>
      </c>
    </row>
    <row r="121" spans="1:63" x14ac:dyDescent="0.3">
      <c r="B121" s="80" t="s">
        <v>37</v>
      </c>
      <c r="C121" s="73"/>
      <c r="D121" s="7" t="s">
        <v>24</v>
      </c>
      <c r="E121" s="73"/>
      <c r="F121" s="138">
        <v>0.79</v>
      </c>
      <c r="G121" s="74">
        <v>1</v>
      </c>
      <c r="H121" s="136">
        <f t="shared" si="17"/>
        <v>0.79</v>
      </c>
      <c r="I121" s="76"/>
      <c r="J121" s="138">
        <v>0.79</v>
      </c>
      <c r="K121" s="81">
        <v>1</v>
      </c>
      <c r="L121" s="136">
        <f t="shared" si="18"/>
        <v>0.79</v>
      </c>
      <c r="M121" s="76"/>
      <c r="N121" s="137">
        <f t="shared" si="11"/>
        <v>0</v>
      </c>
      <c r="O121" s="79"/>
    </row>
    <row r="122" spans="1:63" s="4" customFormat="1" x14ac:dyDescent="0.3">
      <c r="A122" s="60"/>
      <c r="B122" s="19" t="s">
        <v>38</v>
      </c>
      <c r="C122" s="20"/>
      <c r="D122" s="20"/>
      <c r="E122" s="20"/>
      <c r="F122" s="21"/>
      <c r="G122" s="22"/>
      <c r="H122" s="23">
        <f>SUM(H115:H121)+H114</f>
        <v>18.336378400000001</v>
      </c>
      <c r="I122" s="13"/>
      <c r="J122" s="22"/>
      <c r="K122" s="24"/>
      <c r="L122" s="23">
        <f>SUM(L115:L121)+L114</f>
        <v>17.845539200000005</v>
      </c>
      <c r="M122" s="13"/>
      <c r="N122" s="15">
        <f t="shared" si="11"/>
        <v>-0.49083919999999637</v>
      </c>
      <c r="O122" s="16">
        <f t="shared" ref="O122:O134" si="21">IF((H122)=0,"",(N122/H122))</f>
        <v>-2.6768601154085931E-2</v>
      </c>
      <c r="P122" s="60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</row>
    <row r="123" spans="1:63" x14ac:dyDescent="0.3">
      <c r="B123" s="76" t="s">
        <v>39</v>
      </c>
      <c r="C123" s="76"/>
      <c r="D123" s="25" t="s">
        <v>27</v>
      </c>
      <c r="E123" s="76"/>
      <c r="F123" s="135">
        <v>8.0000000000000002E-3</v>
      </c>
      <c r="G123" s="18">
        <f>F93*(1+F149)</f>
        <v>103.77000000000001</v>
      </c>
      <c r="H123" s="136">
        <f>G123*F123</f>
        <v>0.83016000000000012</v>
      </c>
      <c r="I123" s="76"/>
      <c r="J123" s="135">
        <f>+$J$48</f>
        <v>7.9000000000000008E-3</v>
      </c>
      <c r="K123" s="18">
        <f>F93*(1+J149)</f>
        <v>103.76</v>
      </c>
      <c r="L123" s="136">
        <f>K123*J123</f>
        <v>0.8197040000000001</v>
      </c>
      <c r="M123" s="76"/>
      <c r="N123" s="136">
        <f t="shared" si="11"/>
        <v>-1.0456000000000021E-2</v>
      </c>
      <c r="O123" s="79">
        <f t="shared" si="21"/>
        <v>-1.259516237833673E-2</v>
      </c>
    </row>
    <row r="124" spans="1:63" x14ac:dyDescent="0.3">
      <c r="B124" s="85" t="s">
        <v>40</v>
      </c>
      <c r="C124" s="76"/>
      <c r="D124" s="25" t="s">
        <v>27</v>
      </c>
      <c r="E124" s="76"/>
      <c r="F124" s="135">
        <v>5.4999999999999997E-3</v>
      </c>
      <c r="G124" s="18">
        <f>G123</f>
        <v>103.77000000000001</v>
      </c>
      <c r="H124" s="136">
        <f>G124*F124</f>
        <v>0.57073499999999999</v>
      </c>
      <c r="I124" s="76"/>
      <c r="J124" s="135">
        <f>+$J$49</f>
        <v>5.3E-3</v>
      </c>
      <c r="K124" s="18">
        <f>K123</f>
        <v>103.76</v>
      </c>
      <c r="L124" s="136">
        <f>K124*J124</f>
        <v>0.54992800000000008</v>
      </c>
      <c r="M124" s="76"/>
      <c r="N124" s="136">
        <f t="shared" si="11"/>
        <v>-2.0806999999999909E-2</v>
      </c>
      <c r="O124" s="79">
        <f t="shared" si="21"/>
        <v>-3.6456499075753039E-2</v>
      </c>
    </row>
    <row r="125" spans="1:63" s="4" customFormat="1" x14ac:dyDescent="0.3">
      <c r="A125" s="60"/>
      <c r="B125" s="19" t="s">
        <v>41</v>
      </c>
      <c r="C125" s="20"/>
      <c r="D125" s="20"/>
      <c r="E125" s="20"/>
      <c r="F125" s="21"/>
      <c r="G125" s="22"/>
      <c r="H125" s="23">
        <f>SUM(H122:H124)</f>
        <v>19.737273399999999</v>
      </c>
      <c r="I125" s="13"/>
      <c r="J125" s="26"/>
      <c r="K125" s="22"/>
      <c r="L125" s="23">
        <f>SUM(L122:L124)</f>
        <v>19.215171200000007</v>
      </c>
      <c r="M125" s="13"/>
      <c r="N125" s="15">
        <f t="shared" si="11"/>
        <v>-0.52210219999999197</v>
      </c>
      <c r="O125" s="16">
        <f t="shared" si="21"/>
        <v>-2.6452600084061865E-2</v>
      </c>
      <c r="P125" s="60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</row>
    <row r="126" spans="1:63" x14ac:dyDescent="0.3">
      <c r="B126" s="86" t="s">
        <v>42</v>
      </c>
      <c r="C126" s="73"/>
      <c r="D126" s="7" t="s">
        <v>27</v>
      </c>
      <c r="E126" s="73"/>
      <c r="F126" s="135">
        <v>4.4000000000000003E-3</v>
      </c>
      <c r="G126" s="18">
        <f>G124</f>
        <v>103.77000000000001</v>
      </c>
      <c r="H126" s="139">
        <f t="shared" ref="H126:H134" si="22">G126*F126</f>
        <v>0.45658800000000005</v>
      </c>
      <c r="I126" s="76"/>
      <c r="J126" s="135">
        <v>4.4000000000000003E-3</v>
      </c>
      <c r="K126" s="18">
        <f>K124</f>
        <v>103.76</v>
      </c>
      <c r="L126" s="139">
        <f t="shared" ref="L126:L134" si="23">K126*J126</f>
        <v>0.45654400000000006</v>
      </c>
      <c r="M126" s="76"/>
      <c r="N126" s="137">
        <f t="shared" si="11"/>
        <v>-4.3999999999988493E-5</v>
      </c>
      <c r="O126" s="87">
        <f t="shared" si="21"/>
        <v>-9.6366965404234207E-5</v>
      </c>
    </row>
    <row r="127" spans="1:63" x14ac:dyDescent="0.3">
      <c r="B127" s="86" t="s">
        <v>43</v>
      </c>
      <c r="C127" s="73"/>
      <c r="D127" s="7" t="s">
        <v>27</v>
      </c>
      <c r="E127" s="73"/>
      <c r="F127" s="135">
        <v>1.1999999999999999E-3</v>
      </c>
      <c r="G127" s="18">
        <f>G124</f>
        <v>103.77000000000001</v>
      </c>
      <c r="H127" s="139">
        <f t="shared" si="22"/>
        <v>0.124524</v>
      </c>
      <c r="I127" s="76"/>
      <c r="J127" s="135">
        <v>1.2999999999999999E-3</v>
      </c>
      <c r="K127" s="18">
        <f>K124</f>
        <v>103.76</v>
      </c>
      <c r="L127" s="139">
        <f t="shared" si="23"/>
        <v>0.13488800000000001</v>
      </c>
      <c r="M127" s="76"/>
      <c r="N127" s="137">
        <f t="shared" si="11"/>
        <v>1.0364000000000012E-2</v>
      </c>
      <c r="O127" s="87">
        <f t="shared" si="21"/>
        <v>8.3228935787478822E-2</v>
      </c>
    </row>
    <row r="128" spans="1:63" x14ac:dyDescent="0.3">
      <c r="B128" s="73" t="s">
        <v>44</v>
      </c>
      <c r="C128" s="73"/>
      <c r="D128" s="7" t="s">
        <v>24</v>
      </c>
      <c r="E128" s="73"/>
      <c r="F128" s="135">
        <v>0.25</v>
      </c>
      <c r="G128" s="81">
        <v>1</v>
      </c>
      <c r="H128" s="139">
        <f t="shared" si="22"/>
        <v>0.25</v>
      </c>
      <c r="I128" s="76"/>
      <c r="J128" s="135">
        <v>0.25</v>
      </c>
      <c r="K128" s="77">
        <v>1</v>
      </c>
      <c r="L128" s="139">
        <f t="shared" si="23"/>
        <v>0.25</v>
      </c>
      <c r="M128" s="76"/>
      <c r="N128" s="137">
        <f t="shared" si="11"/>
        <v>0</v>
      </c>
      <c r="O128" s="87">
        <f t="shared" si="21"/>
        <v>0</v>
      </c>
    </row>
    <row r="129" spans="1:63" x14ac:dyDescent="0.3">
      <c r="B129" s="73" t="s">
        <v>45</v>
      </c>
      <c r="C129" s="73"/>
      <c r="D129" s="7" t="s">
        <v>27</v>
      </c>
      <c r="E129" s="73"/>
      <c r="F129" s="135">
        <v>7.0000000000000001E-3</v>
      </c>
      <c r="G129" s="84">
        <f>F93</f>
        <v>100</v>
      </c>
      <c r="H129" s="139">
        <f t="shared" si="22"/>
        <v>0.70000000000000007</v>
      </c>
      <c r="I129" s="76"/>
      <c r="J129" s="135">
        <v>7.0000000000000001E-3</v>
      </c>
      <c r="K129" s="77">
        <f>F93</f>
        <v>100</v>
      </c>
      <c r="L129" s="139">
        <f t="shared" si="23"/>
        <v>0.70000000000000007</v>
      </c>
      <c r="M129" s="76"/>
      <c r="N129" s="137">
        <f t="shared" si="11"/>
        <v>0</v>
      </c>
      <c r="O129" s="87">
        <f t="shared" si="21"/>
        <v>0</v>
      </c>
    </row>
    <row r="130" spans="1:63" x14ac:dyDescent="0.3">
      <c r="B130" s="80" t="s">
        <v>46</v>
      </c>
      <c r="C130" s="73"/>
      <c r="D130" s="7" t="s">
        <v>27</v>
      </c>
      <c r="E130" s="73"/>
      <c r="F130" s="138">
        <v>6.7000000000000004E-2</v>
      </c>
      <c r="G130" s="27">
        <f>0.64*$F$93</f>
        <v>64</v>
      </c>
      <c r="H130" s="139">
        <f t="shared" si="22"/>
        <v>4.2880000000000003</v>
      </c>
      <c r="I130" s="76"/>
      <c r="J130" s="138">
        <v>6.7000000000000004E-2</v>
      </c>
      <c r="K130" s="28">
        <f>G130</f>
        <v>64</v>
      </c>
      <c r="L130" s="139">
        <f t="shared" si="23"/>
        <v>4.2880000000000003</v>
      </c>
      <c r="M130" s="76"/>
      <c r="N130" s="137">
        <f t="shared" si="11"/>
        <v>0</v>
      </c>
      <c r="O130" s="87">
        <f t="shared" si="21"/>
        <v>0</v>
      </c>
      <c r="S130" s="127"/>
    </row>
    <row r="131" spans="1:63" x14ac:dyDescent="0.3">
      <c r="B131" s="80" t="s">
        <v>47</v>
      </c>
      <c r="C131" s="73"/>
      <c r="D131" s="7" t="s">
        <v>27</v>
      </c>
      <c r="E131" s="73"/>
      <c r="F131" s="138">
        <v>0.104</v>
      </c>
      <c r="G131" s="27">
        <f>0.18*$F$93</f>
        <v>18</v>
      </c>
      <c r="H131" s="139">
        <f t="shared" si="22"/>
        <v>1.8719999999999999</v>
      </c>
      <c r="I131" s="76"/>
      <c r="J131" s="138">
        <v>0.104</v>
      </c>
      <c r="K131" s="28">
        <f>G131</f>
        <v>18</v>
      </c>
      <c r="L131" s="139">
        <f t="shared" si="23"/>
        <v>1.8719999999999999</v>
      </c>
      <c r="M131" s="76"/>
      <c r="N131" s="137">
        <f t="shared" si="11"/>
        <v>0</v>
      </c>
      <c r="O131" s="87">
        <f t="shared" si="21"/>
        <v>0</v>
      </c>
      <c r="S131" s="127"/>
    </row>
    <row r="132" spans="1:63" x14ac:dyDescent="0.3">
      <c r="B132" s="64" t="s">
        <v>48</v>
      </c>
      <c r="C132" s="73"/>
      <c r="D132" s="7" t="s">
        <v>27</v>
      </c>
      <c r="E132" s="73"/>
      <c r="F132" s="138">
        <v>0.124</v>
      </c>
      <c r="G132" s="27">
        <f>0.18*$F$93</f>
        <v>18</v>
      </c>
      <c r="H132" s="139">
        <f t="shared" si="22"/>
        <v>2.2320000000000002</v>
      </c>
      <c r="I132" s="76"/>
      <c r="J132" s="138">
        <v>0.124</v>
      </c>
      <c r="K132" s="28">
        <f>G132</f>
        <v>18</v>
      </c>
      <c r="L132" s="139">
        <f t="shared" si="23"/>
        <v>2.2320000000000002</v>
      </c>
      <c r="M132" s="76"/>
      <c r="N132" s="137">
        <f t="shared" si="11"/>
        <v>0</v>
      </c>
      <c r="O132" s="87">
        <f t="shared" si="21"/>
        <v>0</v>
      </c>
      <c r="S132" s="127"/>
    </row>
    <row r="133" spans="1:63" s="92" customFormat="1" x14ac:dyDescent="0.25">
      <c r="B133" s="89" t="s">
        <v>49</v>
      </c>
      <c r="C133" s="90"/>
      <c r="D133" s="29" t="s">
        <v>27</v>
      </c>
      <c r="E133" s="90"/>
      <c r="F133" s="138">
        <v>7.4999999999999997E-2</v>
      </c>
      <c r="G133" s="30">
        <f>IF(AND($T$1=1, F93&gt;=600), 600, IF(AND($T$1=1, AND(F93&lt;600, F93&gt;=0)), F93, IF(AND($T$1=2, F93&gt;=1000), 1000, IF(AND($T$1=2, AND(F93&lt;1000, F93&gt;=0)), F93))))</f>
        <v>100</v>
      </c>
      <c r="H133" s="139">
        <f t="shared" si="22"/>
        <v>7.5</v>
      </c>
      <c r="I133" s="91"/>
      <c r="J133" s="138">
        <v>7.4999999999999997E-2</v>
      </c>
      <c r="K133" s="31">
        <f>G133</f>
        <v>100</v>
      </c>
      <c r="L133" s="139">
        <f t="shared" si="23"/>
        <v>7.5</v>
      </c>
      <c r="M133" s="91"/>
      <c r="N133" s="140">
        <f t="shared" si="11"/>
        <v>0</v>
      </c>
      <c r="O133" s="87">
        <f t="shared" si="21"/>
        <v>0</v>
      </c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</row>
    <row r="134" spans="1:63" s="92" customFormat="1" ht="15" thickBot="1" x14ac:dyDescent="0.3">
      <c r="B134" s="89" t="s">
        <v>50</v>
      </c>
      <c r="C134" s="90"/>
      <c r="D134" s="29" t="s">
        <v>27</v>
      </c>
      <c r="E134" s="90"/>
      <c r="F134" s="138">
        <v>8.7999999999999995E-2</v>
      </c>
      <c r="G134" s="30">
        <f>IF(AND($T$1=1, F93&gt;=600), F93-600, IF(AND($T$1=1, AND(F93&lt;600, F93&gt;=0)), 0, IF(AND($T$1=2, F93&gt;=1000), F93-1000, IF(AND($T$1=2, AND(F93&lt;1000, F93&gt;=0)), 0))))</f>
        <v>0</v>
      </c>
      <c r="H134" s="139">
        <f t="shared" si="22"/>
        <v>0</v>
      </c>
      <c r="I134" s="91"/>
      <c r="J134" s="138">
        <v>8.7999999999999995E-2</v>
      </c>
      <c r="K134" s="31">
        <f>G134</f>
        <v>0</v>
      </c>
      <c r="L134" s="139">
        <f t="shared" si="23"/>
        <v>0</v>
      </c>
      <c r="M134" s="91"/>
      <c r="N134" s="140">
        <f t="shared" si="11"/>
        <v>0</v>
      </c>
      <c r="O134" s="87" t="str">
        <f t="shared" si="21"/>
        <v/>
      </c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</row>
    <row r="135" spans="1:63" s="4" customFormat="1" ht="15" thickBot="1" x14ac:dyDescent="0.35">
      <c r="A135" s="60"/>
      <c r="B135" s="32"/>
      <c r="C135" s="33"/>
      <c r="D135" s="124"/>
      <c r="E135" s="33"/>
      <c r="F135" s="35"/>
      <c r="G135" s="36"/>
      <c r="H135" s="122"/>
      <c r="I135" s="123"/>
      <c r="J135" s="35"/>
      <c r="K135" s="39"/>
      <c r="L135" s="122"/>
      <c r="M135" s="123"/>
      <c r="N135" s="40"/>
      <c r="O135" s="41"/>
      <c r="P135" s="60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</row>
    <row r="136" spans="1:63" x14ac:dyDescent="0.3">
      <c r="B136" s="93" t="s">
        <v>51</v>
      </c>
      <c r="C136" s="73"/>
      <c r="D136" s="73"/>
      <c r="E136" s="73"/>
      <c r="F136" s="94"/>
      <c r="G136" s="95"/>
      <c r="H136" s="141">
        <f>SUM(H126:H132,H125)</f>
        <v>29.660385399999999</v>
      </c>
      <c r="I136" s="96"/>
      <c r="J136" s="97"/>
      <c r="K136" s="97"/>
      <c r="L136" s="144">
        <f>SUM(L126:L132,L125)</f>
        <v>29.148603200000007</v>
      </c>
      <c r="M136" s="145"/>
      <c r="N136" s="146">
        <f>L136-H136</f>
        <v>-0.51178219999999186</v>
      </c>
      <c r="O136" s="98">
        <f>IF((H136)=0,"",(N136/H136))</f>
        <v>-1.725473870612591E-2</v>
      </c>
      <c r="S136" s="127"/>
    </row>
    <row r="137" spans="1:63" x14ac:dyDescent="0.3">
      <c r="B137" s="99" t="s">
        <v>52</v>
      </c>
      <c r="C137" s="73"/>
      <c r="D137" s="73"/>
      <c r="E137" s="73"/>
      <c r="F137" s="100">
        <v>0.13</v>
      </c>
      <c r="G137" s="101"/>
      <c r="H137" s="142">
        <f>H136*F137</f>
        <v>3.8558501020000002</v>
      </c>
      <c r="I137" s="102"/>
      <c r="J137" s="103">
        <v>0.13</v>
      </c>
      <c r="K137" s="102"/>
      <c r="L137" s="147">
        <f>L136*J137</f>
        <v>3.7893184160000009</v>
      </c>
      <c r="M137" s="148"/>
      <c r="N137" s="149">
        <f>L137-H137</f>
        <v>-6.6531685999999368E-2</v>
      </c>
      <c r="O137" s="104">
        <f>IF((H137)=0,"",(N137/H137))</f>
        <v>-1.7254738706126021E-2</v>
      </c>
      <c r="S137" s="127"/>
    </row>
    <row r="138" spans="1:63" x14ac:dyDescent="0.3">
      <c r="B138" s="105" t="s">
        <v>53</v>
      </c>
      <c r="C138" s="73"/>
      <c r="D138" s="73"/>
      <c r="E138" s="73"/>
      <c r="F138" s="106"/>
      <c r="G138" s="101"/>
      <c r="H138" s="142">
        <f>H136+H137</f>
        <v>33.516235502000001</v>
      </c>
      <c r="I138" s="102"/>
      <c r="J138" s="102"/>
      <c r="K138" s="102"/>
      <c r="L138" s="147">
        <f>L136+L137</f>
        <v>32.937921616000011</v>
      </c>
      <c r="M138" s="148"/>
      <c r="N138" s="149">
        <f>L138-H138</f>
        <v>-0.57831388599998945</v>
      </c>
      <c r="O138" s="104">
        <f>IF((H138)=0,"",(N138/H138))</f>
        <v>-1.7254738706125872E-2</v>
      </c>
      <c r="S138" s="127"/>
    </row>
    <row r="139" spans="1:63" ht="14.4" customHeight="1" x14ac:dyDescent="0.3">
      <c r="B139" s="172" t="s">
        <v>54</v>
      </c>
      <c r="C139" s="172"/>
      <c r="D139" s="172"/>
      <c r="E139" s="73"/>
      <c r="F139" s="106"/>
      <c r="G139" s="101"/>
      <c r="H139" s="143">
        <f>ROUND(-H138*10%,2)</f>
        <v>-3.35</v>
      </c>
      <c r="I139" s="102"/>
      <c r="J139" s="102"/>
      <c r="K139" s="102"/>
      <c r="L139" s="150">
        <f>ROUND(-L138*10%,2)</f>
        <v>-3.29</v>
      </c>
      <c r="M139" s="148"/>
      <c r="N139" s="151">
        <f>L139-H139</f>
        <v>6.0000000000000053E-2</v>
      </c>
      <c r="O139" s="107">
        <f>IF((H139)=0,"",(N139/H139))</f>
        <v>-1.7910447761194045E-2</v>
      </c>
    </row>
    <row r="140" spans="1:63" s="4" customFormat="1" ht="15" thickBot="1" x14ac:dyDescent="0.35">
      <c r="A140" s="60"/>
      <c r="B140" s="173" t="s">
        <v>55</v>
      </c>
      <c r="C140" s="173"/>
      <c r="D140" s="173"/>
      <c r="E140" s="42"/>
      <c r="F140" s="43"/>
      <c r="G140" s="44"/>
      <c r="H140" s="45">
        <f>H138+H139</f>
        <v>30.166235501999999</v>
      </c>
      <c r="I140" s="46"/>
      <c r="J140" s="46"/>
      <c r="K140" s="46"/>
      <c r="L140" s="47">
        <f>L138+L139</f>
        <v>29.647921616000012</v>
      </c>
      <c r="M140" s="48"/>
      <c r="N140" s="49">
        <f>L140-H140</f>
        <v>-0.51831388599998718</v>
      </c>
      <c r="O140" s="50">
        <f>IF((H140)=0,"",(N140/H140))</f>
        <v>-1.7181921355935291E-2</v>
      </c>
      <c r="P140" s="60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</row>
    <row r="141" spans="1:63" s="4" customFormat="1" ht="15" thickBot="1" x14ac:dyDescent="0.35">
      <c r="A141" s="60"/>
      <c r="B141" s="32"/>
      <c r="C141" s="33"/>
      <c r="D141" s="34"/>
      <c r="E141" s="33"/>
      <c r="F141" s="35"/>
      <c r="G141" s="36"/>
      <c r="H141" s="37"/>
      <c r="I141" s="38"/>
      <c r="J141" s="35"/>
      <c r="K141" s="39"/>
      <c r="L141" s="37"/>
      <c r="M141" s="123"/>
      <c r="N141" s="40"/>
      <c r="O141" s="41"/>
      <c r="P141" s="60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</row>
    <row r="142" spans="1:63" s="92" customFormat="1" ht="13.2" x14ac:dyDescent="0.25">
      <c r="B142" s="108" t="s">
        <v>56</v>
      </c>
      <c r="C142" s="90"/>
      <c r="D142" s="90"/>
      <c r="E142" s="90"/>
      <c r="F142" s="109"/>
      <c r="G142" s="110"/>
      <c r="H142" s="152">
        <f>SUM(H133:H134,H125,H126:H129)</f>
        <v>28.7683854</v>
      </c>
      <c r="I142" s="111"/>
      <c r="J142" s="112"/>
      <c r="K142" s="112"/>
      <c r="L142" s="155">
        <f>SUM(L133:L134,L125,L126:L129)</f>
        <v>28.256603200000008</v>
      </c>
      <c r="M142" s="156"/>
      <c r="N142" s="157">
        <f>L142-H142</f>
        <v>-0.51178219999999186</v>
      </c>
      <c r="O142" s="98">
        <f>IF((H142)=0,"",(N142/H142))</f>
        <v>-1.7789743598192752E-2</v>
      </c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</row>
    <row r="143" spans="1:63" s="92" customFormat="1" ht="13.2" x14ac:dyDescent="0.25">
      <c r="B143" s="113" t="s">
        <v>52</v>
      </c>
      <c r="C143" s="90"/>
      <c r="D143" s="90"/>
      <c r="E143" s="90"/>
      <c r="F143" s="114">
        <v>0.13</v>
      </c>
      <c r="G143" s="110"/>
      <c r="H143" s="153">
        <f>H142*F143</f>
        <v>3.7398901019999999</v>
      </c>
      <c r="I143" s="115"/>
      <c r="J143" s="116">
        <v>0.13</v>
      </c>
      <c r="K143" s="117"/>
      <c r="L143" s="158">
        <f>L142*J143</f>
        <v>3.673358416000001</v>
      </c>
      <c r="M143" s="159"/>
      <c r="N143" s="160">
        <f>L143-H143</f>
        <v>-6.6531685999998924E-2</v>
      </c>
      <c r="O143" s="104">
        <f>IF((H143)=0,"",(N143/H143))</f>
        <v>-1.7789743598192749E-2</v>
      </c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</row>
    <row r="144" spans="1:63" s="92" customFormat="1" ht="13.2" x14ac:dyDescent="0.25">
      <c r="B144" s="118" t="s">
        <v>53</v>
      </c>
      <c r="C144" s="90"/>
      <c r="D144" s="90"/>
      <c r="E144" s="90"/>
      <c r="F144" s="119"/>
      <c r="G144" s="120"/>
      <c r="H144" s="153">
        <f>H142+H143</f>
        <v>32.508275501999996</v>
      </c>
      <c r="I144" s="115"/>
      <c r="J144" s="115"/>
      <c r="K144" s="115"/>
      <c r="L144" s="158">
        <f>L142+L143</f>
        <v>31.929961616000007</v>
      </c>
      <c r="M144" s="159"/>
      <c r="N144" s="160">
        <f>L144-H144</f>
        <v>-0.57831388599998945</v>
      </c>
      <c r="O144" s="104">
        <f>IF((H144)=0,"",(N144/H144))</f>
        <v>-1.7789743598192714E-2</v>
      </c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</row>
    <row r="145" spans="1:63" s="92" customFormat="1" ht="13.2" customHeight="1" x14ac:dyDescent="0.25">
      <c r="B145" s="174" t="s">
        <v>54</v>
      </c>
      <c r="C145" s="174"/>
      <c r="D145" s="174"/>
      <c r="E145" s="90"/>
      <c r="F145" s="119"/>
      <c r="G145" s="120"/>
      <c r="H145" s="154">
        <f>ROUND(-H144*10%,2)</f>
        <v>-3.25</v>
      </c>
      <c r="I145" s="115"/>
      <c r="J145" s="115"/>
      <c r="K145" s="115"/>
      <c r="L145" s="161">
        <f>ROUND(-L144*10%,2)</f>
        <v>-3.19</v>
      </c>
      <c r="M145" s="159"/>
      <c r="N145" s="162">
        <f>L145-H145</f>
        <v>6.0000000000000053E-2</v>
      </c>
      <c r="O145" s="107">
        <f>IF((H145)=0,"",(N145/H145))</f>
        <v>-1.8461538461538477E-2</v>
      </c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</row>
    <row r="146" spans="1:63" s="4" customFormat="1" ht="15" thickBot="1" x14ac:dyDescent="0.35">
      <c r="A146" s="60"/>
      <c r="B146" s="173" t="s">
        <v>57</v>
      </c>
      <c r="C146" s="173"/>
      <c r="D146" s="173"/>
      <c r="E146" s="42"/>
      <c r="F146" s="43"/>
      <c r="G146" s="44"/>
      <c r="H146" s="45">
        <f>SUM(H144:H145)</f>
        <v>29.258275501999996</v>
      </c>
      <c r="I146" s="46"/>
      <c r="J146" s="46"/>
      <c r="K146" s="46"/>
      <c r="L146" s="47">
        <f>SUM(L144:L145)</f>
        <v>28.739961616000006</v>
      </c>
      <c r="M146" s="48"/>
      <c r="N146" s="49">
        <f>L146-H146</f>
        <v>-0.51831388599999073</v>
      </c>
      <c r="O146" s="50">
        <f>IF((H146)=0,"",(N146/H146))</f>
        <v>-1.7715120836993982E-2</v>
      </c>
      <c r="P146" s="60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</row>
    <row r="147" spans="1:63" s="4" customFormat="1" ht="15" thickBot="1" x14ac:dyDescent="0.35">
      <c r="A147" s="60"/>
      <c r="B147" s="32"/>
      <c r="C147" s="33"/>
      <c r="D147" s="34"/>
      <c r="E147" s="33"/>
      <c r="F147" s="35"/>
      <c r="G147" s="36"/>
      <c r="H147" s="122"/>
      <c r="I147" s="123"/>
      <c r="J147" s="35"/>
      <c r="K147" s="39"/>
      <c r="L147" s="37"/>
      <c r="M147" s="123"/>
      <c r="N147" s="40"/>
      <c r="O147" s="41"/>
      <c r="P147" s="60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</row>
    <row r="148" spans="1:63" x14ac:dyDescent="0.3">
      <c r="L148" s="88"/>
    </row>
    <row r="149" spans="1:63" x14ac:dyDescent="0.3">
      <c r="B149" s="65" t="s">
        <v>58</v>
      </c>
      <c r="F149" s="51">
        <v>3.7699999999999997E-2</v>
      </c>
      <c r="J149" s="51">
        <f>+$J$74</f>
        <v>3.7600000000000001E-2</v>
      </c>
    </row>
    <row r="151" spans="1:63" x14ac:dyDescent="0.3">
      <c r="L151" s="56"/>
      <c r="M151" s="56"/>
      <c r="N151" s="56"/>
      <c r="O151" s="56"/>
      <c r="P151" s="56"/>
    </row>
    <row r="152" spans="1:63" ht="16.2" x14ac:dyDescent="0.3">
      <c r="A152" s="121" t="s">
        <v>59</v>
      </c>
    </row>
    <row r="154" spans="1:63" x14ac:dyDescent="0.3">
      <c r="A154" s="60" t="s">
        <v>60</v>
      </c>
    </row>
    <row r="155" spans="1:63" x14ac:dyDescent="0.3">
      <c r="A155" s="60" t="s">
        <v>61</v>
      </c>
    </row>
    <row r="157" spans="1:63" x14ac:dyDescent="0.3">
      <c r="B157" s="60" t="s">
        <v>62</v>
      </c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</row>
    <row r="158" spans="1:63" x14ac:dyDescent="0.3"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</row>
    <row r="159" spans="1:63" ht="18.75" customHeight="1" x14ac:dyDescent="0.3">
      <c r="B159" s="175" t="s">
        <v>6</v>
      </c>
      <c r="C159" s="175"/>
      <c r="D159" s="175"/>
      <c r="E159" s="175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56"/>
    </row>
    <row r="160" spans="1:63" ht="18.75" customHeight="1" x14ac:dyDescent="0.3">
      <c r="B160" s="175" t="s">
        <v>7</v>
      </c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56"/>
    </row>
    <row r="161" spans="2:16" ht="7.5" customHeight="1" x14ac:dyDescent="0.3">
      <c r="L161" s="56"/>
      <c r="M161" s="56"/>
      <c r="N161" s="56"/>
      <c r="O161" s="56"/>
      <c r="P161" s="56"/>
    </row>
    <row r="162" spans="2:16" ht="7.5" customHeight="1" x14ac:dyDescent="0.3">
      <c r="L162" s="56"/>
      <c r="M162" s="56"/>
      <c r="N162" s="56"/>
      <c r="O162" s="56"/>
      <c r="P162" s="56"/>
    </row>
    <row r="163" spans="2:16" ht="15.6" x14ac:dyDescent="0.3">
      <c r="B163" s="61" t="s">
        <v>8</v>
      </c>
      <c r="D163" s="185" t="s">
        <v>66</v>
      </c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</row>
    <row r="164" spans="2:16" ht="7.5" customHeight="1" x14ac:dyDescent="0.3">
      <c r="B164" s="62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</row>
    <row r="165" spans="2:16" ht="15.6" x14ac:dyDescent="0.3">
      <c r="B165" s="61" t="s">
        <v>9</v>
      </c>
      <c r="D165" s="5" t="s">
        <v>10</v>
      </c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</row>
    <row r="166" spans="2:16" ht="15.6" x14ac:dyDescent="0.3">
      <c r="B166" s="62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</row>
    <row r="167" spans="2:16" x14ac:dyDescent="0.3">
      <c r="B167" s="64"/>
      <c r="D167" s="65" t="s">
        <v>11</v>
      </c>
      <c r="E167" s="65"/>
      <c r="F167" s="6">
        <v>250</v>
      </c>
      <c r="G167" s="65" t="s">
        <v>12</v>
      </c>
    </row>
    <row r="168" spans="2:16" x14ac:dyDescent="0.3">
      <c r="B168" s="64"/>
      <c r="G168" s="65"/>
    </row>
    <row r="169" spans="2:16" x14ac:dyDescent="0.3">
      <c r="B169" s="64"/>
      <c r="D169" s="66"/>
      <c r="E169" s="66"/>
      <c r="F169" s="176" t="s">
        <v>13</v>
      </c>
      <c r="G169" s="177"/>
      <c r="H169" s="178"/>
      <c r="J169" s="176" t="s">
        <v>14</v>
      </c>
      <c r="K169" s="177"/>
      <c r="L169" s="178"/>
      <c r="N169" s="176" t="s">
        <v>15</v>
      </c>
      <c r="O169" s="178"/>
    </row>
    <row r="170" spans="2:16" x14ac:dyDescent="0.3">
      <c r="B170" s="64"/>
      <c r="D170" s="179" t="s">
        <v>16</v>
      </c>
      <c r="E170" s="67"/>
      <c r="F170" s="68" t="s">
        <v>17</v>
      </c>
      <c r="G170" s="68" t="s">
        <v>18</v>
      </c>
      <c r="H170" s="69" t="s">
        <v>19</v>
      </c>
      <c r="J170" s="68" t="s">
        <v>17</v>
      </c>
      <c r="K170" s="70" t="s">
        <v>18</v>
      </c>
      <c r="L170" s="69" t="s">
        <v>19</v>
      </c>
      <c r="N170" s="181" t="s">
        <v>20</v>
      </c>
      <c r="O170" s="183" t="s">
        <v>21</v>
      </c>
    </row>
    <row r="171" spans="2:16" x14ac:dyDescent="0.3">
      <c r="B171" s="64"/>
      <c r="D171" s="180"/>
      <c r="E171" s="67"/>
      <c r="F171" s="71" t="s">
        <v>22</v>
      </c>
      <c r="G171" s="71"/>
      <c r="H171" s="72" t="s">
        <v>22</v>
      </c>
      <c r="J171" s="71" t="s">
        <v>22</v>
      </c>
      <c r="K171" s="72"/>
      <c r="L171" s="72" t="s">
        <v>22</v>
      </c>
      <c r="N171" s="182"/>
      <c r="O171" s="184"/>
    </row>
    <row r="172" spans="2:16" x14ac:dyDescent="0.3">
      <c r="B172" s="73" t="s">
        <v>23</v>
      </c>
      <c r="C172" s="73"/>
      <c r="D172" s="7" t="s">
        <v>24</v>
      </c>
      <c r="E172" s="73"/>
      <c r="F172" s="129">
        <v>13.11</v>
      </c>
      <c r="G172" s="74">
        <v>1</v>
      </c>
      <c r="H172" s="75">
        <f t="shared" ref="H172:H187" si="24">G172*F172</f>
        <v>13.11</v>
      </c>
      <c r="I172" s="76"/>
      <c r="J172" s="129">
        <v>14.42</v>
      </c>
      <c r="K172" s="77">
        <v>1</v>
      </c>
      <c r="L172" s="75">
        <f t="shared" ref="L172:L187" si="25">K172*J172</f>
        <v>14.42</v>
      </c>
      <c r="M172" s="76"/>
      <c r="N172" s="78">
        <f t="shared" ref="N172:N208" si="26">L172-H172</f>
        <v>1.3100000000000005</v>
      </c>
      <c r="O172" s="79">
        <f t="shared" ref="O172:O194" si="27">IF((H172)=0,"",(N172/H172))</f>
        <v>9.9923722349351679E-2</v>
      </c>
    </row>
    <row r="173" spans="2:16" x14ac:dyDescent="0.3">
      <c r="B173" s="73" t="s">
        <v>25</v>
      </c>
      <c r="C173" s="73"/>
      <c r="D173" s="7" t="s">
        <v>24</v>
      </c>
      <c r="E173" s="73"/>
      <c r="F173" s="133">
        <v>2.4900000000000002</v>
      </c>
      <c r="G173" s="74">
        <v>1</v>
      </c>
      <c r="H173" s="136">
        <f t="shared" si="24"/>
        <v>2.4900000000000002</v>
      </c>
      <c r="I173" s="76"/>
      <c r="J173" s="130"/>
      <c r="K173" s="77">
        <v>1</v>
      </c>
      <c r="L173" s="136">
        <f t="shared" si="25"/>
        <v>0</v>
      </c>
      <c r="M173" s="76"/>
      <c r="N173" s="137">
        <f t="shared" si="26"/>
        <v>-2.4900000000000002</v>
      </c>
      <c r="O173" s="79">
        <f t="shared" si="27"/>
        <v>-1</v>
      </c>
    </row>
    <row r="174" spans="2:16" x14ac:dyDescent="0.3">
      <c r="B174" s="9"/>
      <c r="C174" s="73"/>
      <c r="D174" s="7"/>
      <c r="E174" s="73"/>
      <c r="F174" s="134"/>
      <c r="G174" s="74">
        <v>1</v>
      </c>
      <c r="H174" s="136">
        <f t="shared" si="24"/>
        <v>0</v>
      </c>
      <c r="I174" s="76"/>
      <c r="J174" s="131"/>
      <c r="K174" s="77">
        <v>1</v>
      </c>
      <c r="L174" s="136">
        <f t="shared" si="25"/>
        <v>0</v>
      </c>
      <c r="M174" s="76"/>
      <c r="N174" s="137">
        <f t="shared" si="26"/>
        <v>0</v>
      </c>
      <c r="O174" s="79" t="str">
        <f t="shared" si="27"/>
        <v/>
      </c>
    </row>
    <row r="175" spans="2:16" x14ac:dyDescent="0.3">
      <c r="B175" s="9"/>
      <c r="C175" s="73"/>
      <c r="D175" s="7"/>
      <c r="E175" s="73"/>
      <c r="F175" s="134"/>
      <c r="G175" s="74">
        <v>1</v>
      </c>
      <c r="H175" s="136">
        <f t="shared" si="24"/>
        <v>0</v>
      </c>
      <c r="I175" s="76"/>
      <c r="J175" s="131"/>
      <c r="K175" s="77">
        <v>1</v>
      </c>
      <c r="L175" s="136">
        <f t="shared" si="25"/>
        <v>0</v>
      </c>
      <c r="M175" s="76"/>
      <c r="N175" s="137">
        <f t="shared" si="26"/>
        <v>0</v>
      </c>
      <c r="O175" s="79" t="str">
        <f t="shared" si="27"/>
        <v/>
      </c>
    </row>
    <row r="176" spans="2:16" x14ac:dyDescent="0.3">
      <c r="B176" s="10"/>
      <c r="C176" s="73"/>
      <c r="D176" s="7"/>
      <c r="E176" s="73"/>
      <c r="F176" s="134"/>
      <c r="G176" s="74">
        <v>1</v>
      </c>
      <c r="H176" s="136">
        <f t="shared" si="24"/>
        <v>0</v>
      </c>
      <c r="I176" s="76"/>
      <c r="J176" s="131"/>
      <c r="K176" s="77">
        <v>1</v>
      </c>
      <c r="L176" s="136">
        <f t="shared" si="25"/>
        <v>0</v>
      </c>
      <c r="M176" s="76"/>
      <c r="N176" s="137">
        <f t="shared" si="26"/>
        <v>0</v>
      </c>
      <c r="O176" s="79" t="str">
        <f t="shared" si="27"/>
        <v/>
      </c>
    </row>
    <row r="177" spans="1:63" x14ac:dyDescent="0.3">
      <c r="B177" s="10"/>
      <c r="C177" s="73"/>
      <c r="D177" s="7"/>
      <c r="E177" s="73"/>
      <c r="F177" s="134"/>
      <c r="G177" s="74">
        <v>1</v>
      </c>
      <c r="H177" s="136">
        <f t="shared" si="24"/>
        <v>0</v>
      </c>
      <c r="I177" s="76"/>
      <c r="J177" s="131"/>
      <c r="K177" s="77">
        <v>1</v>
      </c>
      <c r="L177" s="136">
        <f t="shared" si="25"/>
        <v>0</v>
      </c>
      <c r="M177" s="76"/>
      <c r="N177" s="137">
        <f t="shared" si="26"/>
        <v>0</v>
      </c>
      <c r="O177" s="79" t="str">
        <f t="shared" si="27"/>
        <v/>
      </c>
    </row>
    <row r="178" spans="1:63" x14ac:dyDescent="0.3">
      <c r="B178" s="73" t="s">
        <v>26</v>
      </c>
      <c r="C178" s="73"/>
      <c r="D178" s="7" t="s">
        <v>27</v>
      </c>
      <c r="E178" s="73"/>
      <c r="F178" s="135">
        <v>1.43E-2</v>
      </c>
      <c r="G178" s="74">
        <f>$F$167</f>
        <v>250</v>
      </c>
      <c r="H178" s="136">
        <f t="shared" si="24"/>
        <v>3.5750000000000002</v>
      </c>
      <c r="I178" s="76"/>
      <c r="J178" s="132">
        <v>1.5699999999999999E-2</v>
      </c>
      <c r="K178" s="74">
        <f>$F$167</f>
        <v>250</v>
      </c>
      <c r="L178" s="136">
        <f t="shared" si="25"/>
        <v>3.9249999999999998</v>
      </c>
      <c r="M178" s="76"/>
      <c r="N178" s="137">
        <f t="shared" si="26"/>
        <v>0.34999999999999964</v>
      </c>
      <c r="O178" s="79">
        <f t="shared" si="27"/>
        <v>9.7902097902097793E-2</v>
      </c>
    </row>
    <row r="179" spans="1:63" x14ac:dyDescent="0.3">
      <c r="B179" s="73" t="s">
        <v>28</v>
      </c>
      <c r="C179" s="73"/>
      <c r="D179" s="7" t="s">
        <v>24</v>
      </c>
      <c r="E179" s="73"/>
      <c r="F179" s="135">
        <v>-0.03</v>
      </c>
      <c r="G179" s="74">
        <v>1</v>
      </c>
      <c r="H179" s="136">
        <f t="shared" si="24"/>
        <v>-0.03</v>
      </c>
      <c r="I179" s="76"/>
      <c r="J179" s="132"/>
      <c r="K179" s="74">
        <v>1</v>
      </c>
      <c r="L179" s="136">
        <f t="shared" si="25"/>
        <v>0</v>
      </c>
      <c r="M179" s="76"/>
      <c r="N179" s="137">
        <f t="shared" si="26"/>
        <v>0.03</v>
      </c>
      <c r="O179" s="79">
        <f t="shared" si="27"/>
        <v>-1</v>
      </c>
    </row>
    <row r="180" spans="1:63" x14ac:dyDescent="0.3">
      <c r="B180" s="73" t="s">
        <v>29</v>
      </c>
      <c r="C180" s="73"/>
      <c r="D180" s="7" t="s">
        <v>27</v>
      </c>
      <c r="E180" s="73"/>
      <c r="F180" s="135">
        <v>2.9999999999999997E-4</v>
      </c>
      <c r="G180" s="74">
        <f t="shared" ref="G180:G182" si="28">$F$167</f>
        <v>250</v>
      </c>
      <c r="H180" s="136">
        <f t="shared" si="24"/>
        <v>7.4999999999999997E-2</v>
      </c>
      <c r="I180" s="76"/>
      <c r="J180" s="171">
        <v>0</v>
      </c>
      <c r="K180" s="74">
        <f t="shared" ref="K180:K182" si="29">$F$167</f>
        <v>250</v>
      </c>
      <c r="L180" s="136">
        <f t="shared" si="25"/>
        <v>0</v>
      </c>
      <c r="M180" s="76"/>
      <c r="N180" s="137">
        <f t="shared" si="26"/>
        <v>-7.4999999999999997E-2</v>
      </c>
      <c r="O180" s="79">
        <f t="shared" si="27"/>
        <v>-1</v>
      </c>
    </row>
    <row r="181" spans="1:63" x14ac:dyDescent="0.3">
      <c r="B181" s="11" t="s">
        <v>30</v>
      </c>
      <c r="C181" s="73"/>
      <c r="D181" s="7" t="s">
        <v>27</v>
      </c>
      <c r="E181" s="73"/>
      <c r="F181" s="135">
        <v>1.8E-3</v>
      </c>
      <c r="G181" s="74">
        <f t="shared" si="28"/>
        <v>250</v>
      </c>
      <c r="H181" s="136">
        <f t="shared" si="24"/>
        <v>0.45</v>
      </c>
      <c r="I181" s="76"/>
      <c r="J181" s="132"/>
      <c r="K181" s="74">
        <f t="shared" si="29"/>
        <v>250</v>
      </c>
      <c r="L181" s="136">
        <f t="shared" si="25"/>
        <v>0</v>
      </c>
      <c r="M181" s="76"/>
      <c r="N181" s="137">
        <f t="shared" si="26"/>
        <v>-0.45</v>
      </c>
      <c r="O181" s="79">
        <f t="shared" si="27"/>
        <v>-1</v>
      </c>
    </row>
    <row r="182" spans="1:63" x14ac:dyDescent="0.3">
      <c r="B182" s="11" t="s">
        <v>31</v>
      </c>
      <c r="C182" s="73"/>
      <c r="D182" s="7" t="s">
        <v>27</v>
      </c>
      <c r="E182" s="73"/>
      <c r="F182" s="135">
        <v>-2.9999999999999997E-4</v>
      </c>
      <c r="G182" s="74">
        <f t="shared" si="28"/>
        <v>250</v>
      </c>
      <c r="H182" s="136">
        <f t="shared" si="24"/>
        <v>-7.4999999999999997E-2</v>
      </c>
      <c r="I182" s="76"/>
      <c r="J182" s="132"/>
      <c r="K182" s="74">
        <f t="shared" si="29"/>
        <v>250</v>
      </c>
      <c r="L182" s="136">
        <f t="shared" si="25"/>
        <v>0</v>
      </c>
      <c r="M182" s="76"/>
      <c r="N182" s="137">
        <f t="shared" si="26"/>
        <v>7.4999999999999997E-2</v>
      </c>
      <c r="O182" s="79">
        <f t="shared" si="27"/>
        <v>-1</v>
      </c>
    </row>
    <row r="183" spans="1:63" x14ac:dyDescent="0.3">
      <c r="B183" s="11" t="s">
        <v>32</v>
      </c>
      <c r="C183" s="73"/>
      <c r="D183" s="7" t="s">
        <v>24</v>
      </c>
      <c r="E183" s="73"/>
      <c r="F183" s="135">
        <v>0</v>
      </c>
      <c r="G183" s="74">
        <v>1</v>
      </c>
      <c r="H183" s="136">
        <f t="shared" si="24"/>
        <v>0</v>
      </c>
      <c r="I183" s="76"/>
      <c r="J183" s="132">
        <v>0.77</v>
      </c>
      <c r="K183" s="74">
        <v>1</v>
      </c>
      <c r="L183" s="136">
        <f t="shared" si="25"/>
        <v>0.77</v>
      </c>
      <c r="M183" s="76"/>
      <c r="N183" s="137">
        <f t="shared" si="26"/>
        <v>0.77</v>
      </c>
      <c r="O183" s="79" t="str">
        <f t="shared" si="27"/>
        <v/>
      </c>
    </row>
    <row r="184" spans="1:63" x14ac:dyDescent="0.3">
      <c r="B184" s="12" t="str">
        <f>+$B$35</f>
        <v>Rate Rider for Disposition of Account 1576</v>
      </c>
      <c r="C184" s="73"/>
      <c r="D184" s="7" t="s">
        <v>27</v>
      </c>
      <c r="E184" s="73"/>
      <c r="F184" s="134"/>
      <c r="G184" s="74">
        <f t="shared" ref="G184:G193" si="30">$F$167</f>
        <v>250</v>
      </c>
      <c r="H184" s="136">
        <f t="shared" si="24"/>
        <v>0</v>
      </c>
      <c r="I184" s="76"/>
      <c r="J184" s="132">
        <v>-5.9999999999999995E-4</v>
      </c>
      <c r="K184" s="74">
        <f t="shared" ref="K184:K187" si="31">$F$167</f>
        <v>250</v>
      </c>
      <c r="L184" s="136">
        <f t="shared" si="25"/>
        <v>-0.15</v>
      </c>
      <c r="M184" s="76"/>
      <c r="N184" s="137">
        <f t="shared" si="26"/>
        <v>-0.15</v>
      </c>
      <c r="O184" s="79" t="str">
        <f t="shared" si="27"/>
        <v/>
      </c>
    </row>
    <row r="185" spans="1:63" x14ac:dyDescent="0.3">
      <c r="B185" s="12" t="str">
        <f>+$B$36</f>
        <v xml:space="preserve">Rate Rider for Disposition of CGAAP CWIP differential </v>
      </c>
      <c r="C185" s="73"/>
      <c r="D185" s="7" t="s">
        <v>27</v>
      </c>
      <c r="E185" s="73"/>
      <c r="F185" s="134"/>
      <c r="G185" s="74">
        <f t="shared" si="30"/>
        <v>250</v>
      </c>
      <c r="H185" s="136">
        <f t="shared" si="24"/>
        <v>0</v>
      </c>
      <c r="I185" s="76"/>
      <c r="J185" s="132">
        <v>2.9999999999999997E-4</v>
      </c>
      <c r="K185" s="74">
        <f t="shared" si="31"/>
        <v>250</v>
      </c>
      <c r="L185" s="136">
        <f t="shared" si="25"/>
        <v>7.4999999999999997E-2</v>
      </c>
      <c r="M185" s="76"/>
      <c r="N185" s="137">
        <f t="shared" si="26"/>
        <v>7.4999999999999997E-2</v>
      </c>
      <c r="O185" s="79" t="str">
        <f t="shared" si="27"/>
        <v/>
      </c>
    </row>
    <row r="186" spans="1:63" x14ac:dyDescent="0.3">
      <c r="B186" s="12" t="str">
        <f>+$B$37</f>
        <v xml:space="preserve">Rate Rider for Disposition of Incremental Capital Expenditures </v>
      </c>
      <c r="C186" s="73"/>
      <c r="D186" s="7" t="s">
        <v>27</v>
      </c>
      <c r="E186" s="73"/>
      <c r="F186" s="131"/>
      <c r="G186" s="74">
        <f t="shared" si="30"/>
        <v>250</v>
      </c>
      <c r="H186" s="136">
        <f t="shared" si="24"/>
        <v>0</v>
      </c>
      <c r="I186" s="76"/>
      <c r="J186" s="132">
        <v>2.0000000000000001E-4</v>
      </c>
      <c r="K186" s="74">
        <f t="shared" si="31"/>
        <v>250</v>
      </c>
      <c r="L186" s="136">
        <f t="shared" si="25"/>
        <v>0.05</v>
      </c>
      <c r="M186" s="76"/>
      <c r="N186" s="137">
        <f t="shared" si="26"/>
        <v>0.05</v>
      </c>
      <c r="O186" s="79" t="str">
        <f t="shared" si="27"/>
        <v/>
      </c>
    </row>
    <row r="187" spans="1:63" x14ac:dyDescent="0.3">
      <c r="B187" s="12"/>
      <c r="C187" s="73"/>
      <c r="D187" s="7"/>
      <c r="E187" s="73"/>
      <c r="F187" s="131"/>
      <c r="G187" s="74">
        <f t="shared" si="30"/>
        <v>250</v>
      </c>
      <c r="H187" s="136">
        <f t="shared" si="24"/>
        <v>0</v>
      </c>
      <c r="I187" s="76"/>
      <c r="J187" s="131"/>
      <c r="K187" s="74">
        <f t="shared" si="31"/>
        <v>250</v>
      </c>
      <c r="L187" s="136">
        <f t="shared" si="25"/>
        <v>0</v>
      </c>
      <c r="M187" s="76"/>
      <c r="N187" s="137">
        <f t="shared" si="26"/>
        <v>0</v>
      </c>
      <c r="O187" s="79" t="str">
        <f t="shared" si="27"/>
        <v/>
      </c>
    </row>
    <row r="188" spans="1:63" s="4" customFormat="1" x14ac:dyDescent="0.3">
      <c r="A188" s="60"/>
      <c r="B188" s="19" t="s">
        <v>33</v>
      </c>
      <c r="C188" s="20"/>
      <c r="D188" s="20"/>
      <c r="E188" s="20"/>
      <c r="F188" s="21"/>
      <c r="G188" s="22"/>
      <c r="H188" s="23">
        <f>SUM(H172:H187)</f>
        <v>19.594999999999999</v>
      </c>
      <c r="I188" s="13"/>
      <c r="J188" s="14"/>
      <c r="K188" s="24"/>
      <c r="L188" s="23">
        <f>SUM(L172:L187)</f>
        <v>19.09</v>
      </c>
      <c r="M188" s="13"/>
      <c r="N188" s="15">
        <f t="shared" si="26"/>
        <v>-0.50499999999999901</v>
      </c>
      <c r="O188" s="16">
        <f t="shared" si="27"/>
        <v>-2.5771880581781016E-2</v>
      </c>
      <c r="P188" s="60"/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  <c r="AB188" s="126"/>
      <c r="AC188" s="126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/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</row>
    <row r="189" spans="1:63" x14ac:dyDescent="0.3">
      <c r="B189" s="17" t="s">
        <v>34</v>
      </c>
      <c r="C189" s="73"/>
      <c r="D189" s="7" t="s">
        <v>27</v>
      </c>
      <c r="E189" s="73"/>
      <c r="F189" s="135">
        <v>2.9999999999999997E-4</v>
      </c>
      <c r="G189" s="74">
        <f t="shared" si="30"/>
        <v>250</v>
      </c>
      <c r="H189" s="136">
        <f t="shared" ref="H189:H195" si="32">G189*F189</f>
        <v>7.4999999999999997E-2</v>
      </c>
      <c r="I189" s="76"/>
      <c r="J189" s="135">
        <v>-5.0000000000000001E-4</v>
      </c>
      <c r="K189" s="74">
        <f t="shared" ref="K189:K193" si="33">$F$167</f>
        <v>250</v>
      </c>
      <c r="L189" s="136">
        <f t="shared" ref="L189:L195" si="34">K189*J189</f>
        <v>-0.125</v>
      </c>
      <c r="M189" s="76"/>
      <c r="N189" s="137">
        <f t="shared" si="26"/>
        <v>-0.2</v>
      </c>
      <c r="O189" s="79">
        <f t="shared" si="27"/>
        <v>-2.666666666666667</v>
      </c>
    </row>
    <row r="190" spans="1:63" x14ac:dyDescent="0.3">
      <c r="B190" s="17"/>
      <c r="C190" s="73"/>
      <c r="D190" s="7"/>
      <c r="E190" s="73"/>
      <c r="F190" s="8"/>
      <c r="G190" s="74">
        <f t="shared" si="30"/>
        <v>250</v>
      </c>
      <c r="H190" s="136">
        <f t="shared" si="32"/>
        <v>0</v>
      </c>
      <c r="I190" s="82"/>
      <c r="J190" s="8"/>
      <c r="K190" s="74">
        <f t="shared" si="33"/>
        <v>250</v>
      </c>
      <c r="L190" s="136">
        <f t="shared" si="34"/>
        <v>0</v>
      </c>
      <c r="M190" s="83"/>
      <c r="N190" s="137">
        <f t="shared" si="26"/>
        <v>0</v>
      </c>
      <c r="O190" s="79" t="str">
        <f t="shared" si="27"/>
        <v/>
      </c>
    </row>
    <row r="191" spans="1:63" x14ac:dyDescent="0.3">
      <c r="B191" s="17"/>
      <c r="C191" s="73"/>
      <c r="D191" s="7"/>
      <c r="E191" s="73"/>
      <c r="F191" s="8"/>
      <c r="G191" s="74">
        <f t="shared" si="30"/>
        <v>250</v>
      </c>
      <c r="H191" s="136">
        <f t="shared" si="32"/>
        <v>0</v>
      </c>
      <c r="I191" s="82"/>
      <c r="J191" s="8"/>
      <c r="K191" s="74">
        <f t="shared" si="33"/>
        <v>250</v>
      </c>
      <c r="L191" s="136">
        <f t="shared" si="34"/>
        <v>0</v>
      </c>
      <c r="M191" s="83"/>
      <c r="N191" s="137">
        <f t="shared" si="26"/>
        <v>0</v>
      </c>
      <c r="O191" s="79" t="str">
        <f t="shared" si="27"/>
        <v/>
      </c>
    </row>
    <row r="192" spans="1:63" x14ac:dyDescent="0.3">
      <c r="B192" s="17"/>
      <c r="C192" s="73"/>
      <c r="D192" s="7"/>
      <c r="E192" s="73"/>
      <c r="F192" s="8"/>
      <c r="G192" s="74">
        <f t="shared" si="30"/>
        <v>250</v>
      </c>
      <c r="H192" s="136">
        <f t="shared" si="32"/>
        <v>0</v>
      </c>
      <c r="I192" s="82"/>
      <c r="J192" s="8"/>
      <c r="K192" s="74">
        <f t="shared" si="33"/>
        <v>250</v>
      </c>
      <c r="L192" s="136">
        <f t="shared" si="34"/>
        <v>0</v>
      </c>
      <c r="M192" s="83"/>
      <c r="N192" s="137">
        <f t="shared" si="26"/>
        <v>0</v>
      </c>
      <c r="O192" s="79" t="str">
        <f t="shared" si="27"/>
        <v/>
      </c>
    </row>
    <row r="193" spans="1:63" x14ac:dyDescent="0.3">
      <c r="B193" s="80" t="s">
        <v>35</v>
      </c>
      <c r="C193" s="73"/>
      <c r="D193" s="7" t="s">
        <v>27</v>
      </c>
      <c r="E193" s="73"/>
      <c r="F193" s="135">
        <v>2.0000000000000001E-4</v>
      </c>
      <c r="G193" s="74">
        <f t="shared" si="30"/>
        <v>250</v>
      </c>
      <c r="H193" s="136">
        <f t="shared" si="32"/>
        <v>0.05</v>
      </c>
      <c r="I193" s="76"/>
      <c r="J193" s="135">
        <v>4.0000000000000002E-4</v>
      </c>
      <c r="K193" s="74">
        <f t="shared" si="33"/>
        <v>250</v>
      </c>
      <c r="L193" s="136">
        <f t="shared" si="34"/>
        <v>0.1</v>
      </c>
      <c r="M193" s="76"/>
      <c r="N193" s="137">
        <f t="shared" si="26"/>
        <v>0.05</v>
      </c>
      <c r="O193" s="79">
        <f t="shared" si="27"/>
        <v>1</v>
      </c>
    </row>
    <row r="194" spans="1:63" x14ac:dyDescent="0.3">
      <c r="B194" s="80" t="s">
        <v>36</v>
      </c>
      <c r="C194" s="73"/>
      <c r="D194" s="7" t="s">
        <v>27</v>
      </c>
      <c r="E194" s="73"/>
      <c r="F194" s="138">
        <f>IF(ISBLANK(D165)=TRUE, 0, IF(D165="TOU", 0.64*$F204+0.18*$F205+0.18*$F206, IF(AND(D165="non-TOU", G208&gt;0), F208,F207)))</f>
        <v>8.3919999999999995E-2</v>
      </c>
      <c r="G194" s="18">
        <f>$F$167*(1+$F$223)-$F$167</f>
        <v>9.4250000000000114</v>
      </c>
      <c r="H194" s="136">
        <f t="shared" si="32"/>
        <v>0.79094600000000093</v>
      </c>
      <c r="I194" s="76"/>
      <c r="J194" s="138">
        <f>0.64*$F204+0.18*$F205+0.18*$F206</f>
        <v>8.3919999999999995E-2</v>
      </c>
      <c r="K194" s="18">
        <f>$F$167*(1+$J$223)-$F$167</f>
        <v>9.4000000000000341</v>
      </c>
      <c r="L194" s="136">
        <f t="shared" si="34"/>
        <v>0.78884800000000277</v>
      </c>
      <c r="M194" s="76"/>
      <c r="N194" s="137">
        <f t="shared" si="26"/>
        <v>-2.0979999999981569E-3</v>
      </c>
      <c r="O194" s="79">
        <f t="shared" si="27"/>
        <v>-2.6525198938968709E-3</v>
      </c>
    </row>
    <row r="195" spans="1:63" x14ac:dyDescent="0.3">
      <c r="B195" s="80" t="s">
        <v>37</v>
      </c>
      <c r="C195" s="73"/>
      <c r="D195" s="7" t="s">
        <v>24</v>
      </c>
      <c r="E195" s="73"/>
      <c r="F195" s="138">
        <v>0.79</v>
      </c>
      <c r="G195" s="74">
        <v>1</v>
      </c>
      <c r="H195" s="136">
        <f t="shared" si="32"/>
        <v>0.79</v>
      </c>
      <c r="I195" s="76"/>
      <c r="J195" s="138">
        <v>0.79</v>
      </c>
      <c r="K195" s="81">
        <v>1</v>
      </c>
      <c r="L195" s="136">
        <f t="shared" si="34"/>
        <v>0.79</v>
      </c>
      <c r="M195" s="76"/>
      <c r="N195" s="137">
        <f t="shared" si="26"/>
        <v>0</v>
      </c>
      <c r="O195" s="79"/>
    </row>
    <row r="196" spans="1:63" s="4" customFormat="1" x14ac:dyDescent="0.3">
      <c r="A196" s="60"/>
      <c r="B196" s="19" t="s">
        <v>38</v>
      </c>
      <c r="C196" s="20"/>
      <c r="D196" s="20"/>
      <c r="E196" s="20"/>
      <c r="F196" s="21"/>
      <c r="G196" s="22"/>
      <c r="H196" s="23">
        <f>SUM(H189:H195)+H188</f>
        <v>21.300946</v>
      </c>
      <c r="I196" s="13"/>
      <c r="J196" s="22"/>
      <c r="K196" s="24"/>
      <c r="L196" s="23">
        <f>SUM(L189:L195)+L188</f>
        <v>20.643848000000002</v>
      </c>
      <c r="M196" s="13"/>
      <c r="N196" s="15">
        <f t="shared" si="26"/>
        <v>-0.65709799999999774</v>
      </c>
      <c r="O196" s="16">
        <f t="shared" ref="O196:O208" si="35">IF((H196)=0,"",(N196/H196))</f>
        <v>-3.0848301291407327E-2</v>
      </c>
      <c r="P196" s="60"/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60"/>
      <c r="AV196" s="60"/>
      <c r="AW196" s="60"/>
      <c r="AX196" s="60"/>
      <c r="AY196" s="60"/>
      <c r="AZ196" s="60"/>
      <c r="BA196" s="60"/>
      <c r="BB196" s="60"/>
      <c r="BC196" s="60"/>
      <c r="BD196" s="60"/>
      <c r="BE196" s="60"/>
      <c r="BF196" s="60"/>
      <c r="BG196" s="60"/>
      <c r="BH196" s="60"/>
      <c r="BI196" s="60"/>
      <c r="BJ196" s="60"/>
      <c r="BK196" s="60"/>
    </row>
    <row r="197" spans="1:63" x14ac:dyDescent="0.3">
      <c r="B197" s="76" t="s">
        <v>39</v>
      </c>
      <c r="C197" s="76"/>
      <c r="D197" s="25" t="s">
        <v>27</v>
      </c>
      <c r="E197" s="76"/>
      <c r="F197" s="135">
        <v>8.0000000000000002E-3</v>
      </c>
      <c r="G197" s="18">
        <f>F167*(1+F223)</f>
        <v>259.42500000000001</v>
      </c>
      <c r="H197" s="136">
        <f>G197*F197</f>
        <v>2.0754000000000001</v>
      </c>
      <c r="I197" s="76"/>
      <c r="J197" s="135">
        <f>+$J$48</f>
        <v>7.9000000000000008E-3</v>
      </c>
      <c r="K197" s="18">
        <f>F167*(1+J223)</f>
        <v>259.40000000000003</v>
      </c>
      <c r="L197" s="136">
        <f>K197*J197</f>
        <v>2.0492600000000003</v>
      </c>
      <c r="M197" s="76"/>
      <c r="N197" s="136">
        <f t="shared" si="26"/>
        <v>-2.613999999999983E-2</v>
      </c>
      <c r="O197" s="79">
        <f t="shared" si="35"/>
        <v>-1.2595162378336624E-2</v>
      </c>
    </row>
    <row r="198" spans="1:63" x14ac:dyDescent="0.3">
      <c r="B198" s="85" t="s">
        <v>40</v>
      </c>
      <c r="C198" s="76"/>
      <c r="D198" s="25" t="s">
        <v>27</v>
      </c>
      <c r="E198" s="76"/>
      <c r="F198" s="135">
        <v>5.4999999999999997E-3</v>
      </c>
      <c r="G198" s="18">
        <f>G197</f>
        <v>259.42500000000001</v>
      </c>
      <c r="H198" s="136">
        <f>G198*F198</f>
        <v>1.4268375</v>
      </c>
      <c r="I198" s="76"/>
      <c r="J198" s="135">
        <f>+$J$49</f>
        <v>5.3E-3</v>
      </c>
      <c r="K198" s="18">
        <f>K197</f>
        <v>259.40000000000003</v>
      </c>
      <c r="L198" s="136">
        <f>K198*J198</f>
        <v>1.3748200000000002</v>
      </c>
      <c r="M198" s="76"/>
      <c r="N198" s="136">
        <f t="shared" si="26"/>
        <v>-5.2017499999999828E-2</v>
      </c>
      <c r="O198" s="79">
        <f t="shared" si="35"/>
        <v>-3.6456499075753074E-2</v>
      </c>
    </row>
    <row r="199" spans="1:63" s="4" customFormat="1" x14ac:dyDescent="0.3">
      <c r="A199" s="60"/>
      <c r="B199" s="19" t="s">
        <v>41</v>
      </c>
      <c r="C199" s="20"/>
      <c r="D199" s="20"/>
      <c r="E199" s="20"/>
      <c r="F199" s="21"/>
      <c r="G199" s="22"/>
      <c r="H199" s="23">
        <f>SUM(H196:H198)</f>
        <v>24.803183499999999</v>
      </c>
      <c r="I199" s="13"/>
      <c r="J199" s="26"/>
      <c r="K199" s="22"/>
      <c r="L199" s="23">
        <f>SUM(L196:L198)</f>
        <v>24.067928000000002</v>
      </c>
      <c r="M199" s="13"/>
      <c r="N199" s="15">
        <f t="shared" si="26"/>
        <v>-0.7352554999999974</v>
      </c>
      <c r="O199" s="16">
        <f t="shared" si="35"/>
        <v>-2.9643593936237961E-2</v>
      </c>
      <c r="P199" s="60"/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  <c r="BA199" s="60"/>
      <c r="BB199" s="60"/>
      <c r="BC199" s="60"/>
      <c r="BD199" s="60"/>
      <c r="BE199" s="60"/>
      <c r="BF199" s="60"/>
      <c r="BG199" s="60"/>
      <c r="BH199" s="60"/>
      <c r="BI199" s="60"/>
      <c r="BJ199" s="60"/>
      <c r="BK199" s="60"/>
    </row>
    <row r="200" spans="1:63" x14ac:dyDescent="0.3">
      <c r="B200" s="86" t="s">
        <v>42</v>
      </c>
      <c r="C200" s="73"/>
      <c r="D200" s="7" t="s">
        <v>27</v>
      </c>
      <c r="E200" s="73"/>
      <c r="F200" s="135">
        <v>4.4000000000000003E-3</v>
      </c>
      <c r="G200" s="18">
        <f>G198</f>
        <v>259.42500000000001</v>
      </c>
      <c r="H200" s="139">
        <f t="shared" ref="H200:H208" si="36">G200*F200</f>
        <v>1.1414700000000002</v>
      </c>
      <c r="I200" s="76"/>
      <c r="J200" s="135">
        <v>4.4000000000000003E-3</v>
      </c>
      <c r="K200" s="18">
        <f>K198</f>
        <v>259.40000000000003</v>
      </c>
      <c r="L200" s="139">
        <f t="shared" ref="L200:L208" si="37">K200*J200</f>
        <v>1.1413600000000002</v>
      </c>
      <c r="M200" s="76"/>
      <c r="N200" s="137">
        <f t="shared" si="26"/>
        <v>-1.100000000000545E-4</v>
      </c>
      <c r="O200" s="87">
        <f t="shared" si="35"/>
        <v>-9.6366965404307147E-5</v>
      </c>
    </row>
    <row r="201" spans="1:63" x14ac:dyDescent="0.3">
      <c r="B201" s="86" t="s">
        <v>43</v>
      </c>
      <c r="C201" s="73"/>
      <c r="D201" s="7" t="s">
        <v>27</v>
      </c>
      <c r="E201" s="73"/>
      <c r="F201" s="135">
        <v>1.1999999999999999E-3</v>
      </c>
      <c r="G201" s="18">
        <f>G198</f>
        <v>259.42500000000001</v>
      </c>
      <c r="H201" s="139">
        <f t="shared" si="36"/>
        <v>0.31130999999999998</v>
      </c>
      <c r="I201" s="76"/>
      <c r="J201" s="135">
        <v>1.2999999999999999E-3</v>
      </c>
      <c r="K201" s="18">
        <f>K198</f>
        <v>259.40000000000003</v>
      </c>
      <c r="L201" s="139">
        <f t="shared" si="37"/>
        <v>0.33722000000000002</v>
      </c>
      <c r="M201" s="76"/>
      <c r="N201" s="137">
        <f t="shared" si="26"/>
        <v>2.5910000000000044E-2</v>
      </c>
      <c r="O201" s="87">
        <f t="shared" si="35"/>
        <v>8.3228935787478864E-2</v>
      </c>
    </row>
    <row r="202" spans="1:63" x14ac:dyDescent="0.3">
      <c r="B202" s="73" t="s">
        <v>44</v>
      </c>
      <c r="C202" s="73"/>
      <c r="D202" s="7" t="s">
        <v>24</v>
      </c>
      <c r="E202" s="73"/>
      <c r="F202" s="135">
        <v>0.25</v>
      </c>
      <c r="G202" s="81">
        <v>1</v>
      </c>
      <c r="H202" s="139">
        <f t="shared" si="36"/>
        <v>0.25</v>
      </c>
      <c r="I202" s="76"/>
      <c r="J202" s="135">
        <v>0.25</v>
      </c>
      <c r="K202" s="77">
        <v>1</v>
      </c>
      <c r="L202" s="139">
        <f t="shared" si="37"/>
        <v>0.25</v>
      </c>
      <c r="M202" s="76"/>
      <c r="N202" s="137">
        <f t="shared" si="26"/>
        <v>0</v>
      </c>
      <c r="O202" s="87">
        <f t="shared" si="35"/>
        <v>0</v>
      </c>
    </row>
    <row r="203" spans="1:63" x14ac:dyDescent="0.3">
      <c r="B203" s="73" t="s">
        <v>45</v>
      </c>
      <c r="C203" s="73"/>
      <c r="D203" s="7" t="s">
        <v>27</v>
      </c>
      <c r="E203" s="73"/>
      <c r="F203" s="135">
        <v>7.0000000000000001E-3</v>
      </c>
      <c r="G203" s="84">
        <f>F167</f>
        <v>250</v>
      </c>
      <c r="H203" s="139">
        <f t="shared" si="36"/>
        <v>1.75</v>
      </c>
      <c r="I203" s="76"/>
      <c r="J203" s="135">
        <v>7.0000000000000001E-3</v>
      </c>
      <c r="K203" s="77">
        <f>F167</f>
        <v>250</v>
      </c>
      <c r="L203" s="139">
        <f t="shared" si="37"/>
        <v>1.75</v>
      </c>
      <c r="M203" s="76"/>
      <c r="N203" s="137">
        <f t="shared" si="26"/>
        <v>0</v>
      </c>
      <c r="O203" s="87">
        <f t="shared" si="35"/>
        <v>0</v>
      </c>
    </row>
    <row r="204" spans="1:63" x14ac:dyDescent="0.3">
      <c r="B204" s="80" t="s">
        <v>46</v>
      </c>
      <c r="C204" s="73"/>
      <c r="D204" s="7" t="s">
        <v>27</v>
      </c>
      <c r="E204" s="73"/>
      <c r="F204" s="138">
        <v>6.7000000000000004E-2</v>
      </c>
      <c r="G204" s="27">
        <f>0.64*$F$167</f>
        <v>160</v>
      </c>
      <c r="H204" s="139">
        <f t="shared" si="36"/>
        <v>10.72</v>
      </c>
      <c r="I204" s="76"/>
      <c r="J204" s="138">
        <v>6.7000000000000004E-2</v>
      </c>
      <c r="K204" s="28">
        <f>G204</f>
        <v>160</v>
      </c>
      <c r="L204" s="139">
        <f t="shared" si="37"/>
        <v>10.72</v>
      </c>
      <c r="M204" s="76"/>
      <c r="N204" s="137">
        <f t="shared" si="26"/>
        <v>0</v>
      </c>
      <c r="O204" s="87">
        <f t="shared" si="35"/>
        <v>0</v>
      </c>
      <c r="S204" s="127"/>
    </row>
    <row r="205" spans="1:63" x14ac:dyDescent="0.3">
      <c r="B205" s="80" t="s">
        <v>47</v>
      </c>
      <c r="C205" s="73"/>
      <c r="D205" s="7" t="s">
        <v>27</v>
      </c>
      <c r="E205" s="73"/>
      <c r="F205" s="138">
        <v>0.104</v>
      </c>
      <c r="G205" s="27">
        <f>0.18*$F$167</f>
        <v>45</v>
      </c>
      <c r="H205" s="139">
        <f t="shared" si="36"/>
        <v>4.68</v>
      </c>
      <c r="I205" s="76"/>
      <c r="J205" s="138">
        <v>0.104</v>
      </c>
      <c r="K205" s="28">
        <f>G205</f>
        <v>45</v>
      </c>
      <c r="L205" s="139">
        <f t="shared" si="37"/>
        <v>4.68</v>
      </c>
      <c r="M205" s="76"/>
      <c r="N205" s="137">
        <f t="shared" si="26"/>
        <v>0</v>
      </c>
      <c r="O205" s="87">
        <f t="shared" si="35"/>
        <v>0</v>
      </c>
      <c r="S205" s="127"/>
    </row>
    <row r="206" spans="1:63" x14ac:dyDescent="0.3">
      <c r="B206" s="64" t="s">
        <v>48</v>
      </c>
      <c r="C206" s="73"/>
      <c r="D206" s="7" t="s">
        <v>27</v>
      </c>
      <c r="E206" s="73"/>
      <c r="F206" s="138">
        <v>0.124</v>
      </c>
      <c r="G206" s="27">
        <f>0.18*$F$167</f>
        <v>45</v>
      </c>
      <c r="H206" s="139">
        <f t="shared" si="36"/>
        <v>5.58</v>
      </c>
      <c r="I206" s="76"/>
      <c r="J206" s="138">
        <v>0.124</v>
      </c>
      <c r="K206" s="28">
        <f>G206</f>
        <v>45</v>
      </c>
      <c r="L206" s="139">
        <f t="shared" si="37"/>
        <v>5.58</v>
      </c>
      <c r="M206" s="76"/>
      <c r="N206" s="137">
        <f t="shared" si="26"/>
        <v>0</v>
      </c>
      <c r="O206" s="87">
        <f t="shared" si="35"/>
        <v>0</v>
      </c>
      <c r="S206" s="127"/>
    </row>
    <row r="207" spans="1:63" s="92" customFormat="1" x14ac:dyDescent="0.25">
      <c r="B207" s="89" t="s">
        <v>49</v>
      </c>
      <c r="C207" s="90"/>
      <c r="D207" s="29" t="s">
        <v>27</v>
      </c>
      <c r="E207" s="90"/>
      <c r="F207" s="138">
        <v>7.4999999999999997E-2</v>
      </c>
      <c r="G207" s="30">
        <f>IF(AND($T$1=1, F167&gt;=600), 600, IF(AND($T$1=1, AND(F167&lt;600, F167&gt;=0)), F167, IF(AND($T$1=2, F167&gt;=1000), 1000, IF(AND($T$1=2, AND(F167&lt;1000, F167&gt;=0)), F167))))</f>
        <v>250</v>
      </c>
      <c r="H207" s="139">
        <f t="shared" si="36"/>
        <v>18.75</v>
      </c>
      <c r="I207" s="91"/>
      <c r="J207" s="138">
        <v>7.4999999999999997E-2</v>
      </c>
      <c r="K207" s="31">
        <f>G207</f>
        <v>250</v>
      </c>
      <c r="L207" s="139">
        <f t="shared" si="37"/>
        <v>18.75</v>
      </c>
      <c r="M207" s="91"/>
      <c r="N207" s="140">
        <f t="shared" si="26"/>
        <v>0</v>
      </c>
      <c r="O207" s="87">
        <f t="shared" si="35"/>
        <v>0</v>
      </c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  <c r="AC207" s="128"/>
    </row>
    <row r="208" spans="1:63" s="92" customFormat="1" ht="15" thickBot="1" x14ac:dyDescent="0.3">
      <c r="B208" s="89" t="s">
        <v>50</v>
      </c>
      <c r="C208" s="90"/>
      <c r="D208" s="29" t="s">
        <v>27</v>
      </c>
      <c r="E208" s="90"/>
      <c r="F208" s="138">
        <v>8.7999999999999995E-2</v>
      </c>
      <c r="G208" s="30">
        <f>IF(AND($T$1=1, F167&gt;=600), F167-600, IF(AND($T$1=1, AND(F167&lt;600, F167&gt;=0)), 0, IF(AND($T$1=2, F167&gt;=1000), F167-1000, IF(AND($T$1=2, AND(F167&lt;1000, F167&gt;=0)), 0))))</f>
        <v>0</v>
      </c>
      <c r="H208" s="139">
        <f t="shared" si="36"/>
        <v>0</v>
      </c>
      <c r="I208" s="91"/>
      <c r="J208" s="138">
        <v>8.7999999999999995E-2</v>
      </c>
      <c r="K208" s="31">
        <f>G208</f>
        <v>0</v>
      </c>
      <c r="L208" s="139">
        <f t="shared" si="37"/>
        <v>0</v>
      </c>
      <c r="M208" s="91"/>
      <c r="N208" s="140">
        <f t="shared" si="26"/>
        <v>0</v>
      </c>
      <c r="O208" s="87" t="str">
        <f t="shared" si="35"/>
        <v/>
      </c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</row>
    <row r="209" spans="1:63" s="4" customFormat="1" ht="15" thickBot="1" x14ac:dyDescent="0.35">
      <c r="A209" s="60"/>
      <c r="B209" s="32"/>
      <c r="C209" s="33"/>
      <c r="D209" s="124"/>
      <c r="E209" s="33"/>
      <c r="F209" s="35"/>
      <c r="G209" s="36"/>
      <c r="H209" s="122"/>
      <c r="I209" s="123"/>
      <c r="J209" s="35"/>
      <c r="K209" s="39"/>
      <c r="L209" s="122"/>
      <c r="M209" s="123"/>
      <c r="N209" s="40"/>
      <c r="O209" s="41"/>
      <c r="P209" s="60"/>
      <c r="Q209" s="126"/>
      <c r="R209" s="126"/>
      <c r="S209" s="126"/>
      <c r="T209" s="126"/>
      <c r="U209" s="126"/>
      <c r="V209" s="126"/>
      <c r="W209" s="126"/>
      <c r="X209" s="126"/>
      <c r="Y209" s="126"/>
      <c r="Z209" s="126"/>
      <c r="AA209" s="126"/>
      <c r="AB209" s="126"/>
      <c r="AC209" s="126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</row>
    <row r="210" spans="1:63" x14ac:dyDescent="0.3">
      <c r="B210" s="93" t="s">
        <v>51</v>
      </c>
      <c r="C210" s="73"/>
      <c r="D210" s="73"/>
      <c r="E210" s="73"/>
      <c r="F210" s="94"/>
      <c r="G210" s="95"/>
      <c r="H210" s="141">
        <f>SUM(H200:H206,H199)</f>
        <v>49.235963499999997</v>
      </c>
      <c r="I210" s="96"/>
      <c r="J210" s="97"/>
      <c r="K210" s="97"/>
      <c r="L210" s="144">
        <f>SUM(L200:L206,L199)</f>
        <v>48.526508</v>
      </c>
      <c r="M210" s="145"/>
      <c r="N210" s="146">
        <f>L210-H210</f>
        <v>-0.70945549999999713</v>
      </c>
      <c r="O210" s="98">
        <f>IF((H210)=0,"",(N210/H210))</f>
        <v>-1.4409294539346166E-2</v>
      </c>
      <c r="S210" s="127"/>
    </row>
    <row r="211" spans="1:63" x14ac:dyDescent="0.3">
      <c r="B211" s="99" t="s">
        <v>52</v>
      </c>
      <c r="C211" s="73"/>
      <c r="D211" s="73"/>
      <c r="E211" s="73"/>
      <c r="F211" s="100">
        <v>0.13</v>
      </c>
      <c r="G211" s="101"/>
      <c r="H211" s="142">
        <f>H210*F211</f>
        <v>6.4006752549999995</v>
      </c>
      <c r="I211" s="102"/>
      <c r="J211" s="103">
        <v>0.13</v>
      </c>
      <c r="K211" s="102"/>
      <c r="L211" s="147">
        <f>L210*J211</f>
        <v>6.3084460399999998</v>
      </c>
      <c r="M211" s="148"/>
      <c r="N211" s="149">
        <f>L211-H211</f>
        <v>-9.2229214999999698E-2</v>
      </c>
      <c r="O211" s="104">
        <f>IF((H211)=0,"",(N211/H211))</f>
        <v>-1.4409294539346178E-2</v>
      </c>
      <c r="S211" s="127"/>
    </row>
    <row r="212" spans="1:63" x14ac:dyDescent="0.3">
      <c r="B212" s="105" t="s">
        <v>53</v>
      </c>
      <c r="C212" s="73"/>
      <c r="D212" s="73"/>
      <c r="E212" s="73"/>
      <c r="F212" s="106"/>
      <c r="G212" s="101"/>
      <c r="H212" s="142">
        <f>H210+H211</f>
        <v>55.636638754999993</v>
      </c>
      <c r="I212" s="102"/>
      <c r="J212" s="102"/>
      <c r="K212" s="102"/>
      <c r="L212" s="147">
        <f>L210+L211</f>
        <v>54.83495404</v>
      </c>
      <c r="M212" s="148"/>
      <c r="N212" s="149">
        <f>L212-H212</f>
        <v>-0.80168471499999328</v>
      </c>
      <c r="O212" s="104">
        <f>IF((H212)=0,"",(N212/H212))</f>
        <v>-1.4409294539346106E-2</v>
      </c>
      <c r="S212" s="127"/>
    </row>
    <row r="213" spans="1:63" ht="14.4" customHeight="1" x14ac:dyDescent="0.3">
      <c r="B213" s="172" t="s">
        <v>54</v>
      </c>
      <c r="C213" s="172"/>
      <c r="D213" s="172"/>
      <c r="E213" s="73"/>
      <c r="F213" s="106"/>
      <c r="G213" s="101"/>
      <c r="H213" s="143">
        <f>ROUND(-H212*10%,2)</f>
        <v>-5.56</v>
      </c>
      <c r="I213" s="102"/>
      <c r="J213" s="102"/>
      <c r="K213" s="102"/>
      <c r="L213" s="150">
        <f>ROUND(-L212*10%,2)</f>
        <v>-5.48</v>
      </c>
      <c r="M213" s="148"/>
      <c r="N213" s="151">
        <f>L213-H213</f>
        <v>7.9999999999999183E-2</v>
      </c>
      <c r="O213" s="107">
        <f>IF((H213)=0,"",(N213/H213))</f>
        <v>-1.4388489208632947E-2</v>
      </c>
    </row>
    <row r="214" spans="1:63" s="4" customFormat="1" ht="15" thickBot="1" x14ac:dyDescent="0.35">
      <c r="A214" s="60"/>
      <c r="B214" s="173" t="s">
        <v>55</v>
      </c>
      <c r="C214" s="173"/>
      <c r="D214" s="173"/>
      <c r="E214" s="42"/>
      <c r="F214" s="43"/>
      <c r="G214" s="44"/>
      <c r="H214" s="45">
        <f>H212+H213</f>
        <v>50.076638754999991</v>
      </c>
      <c r="I214" s="46"/>
      <c r="J214" s="46"/>
      <c r="K214" s="46"/>
      <c r="L214" s="47">
        <f>L212+L213</f>
        <v>49.354954039999996</v>
      </c>
      <c r="M214" s="48"/>
      <c r="N214" s="49">
        <f>L214-H214</f>
        <v>-0.72168471499999498</v>
      </c>
      <c r="O214" s="50">
        <f>IF((H214)=0,"",(N214/H214))</f>
        <v>-1.4411604551392482E-2</v>
      </c>
      <c r="P214" s="60"/>
      <c r="Q214" s="126"/>
      <c r="R214" s="126"/>
      <c r="S214" s="126"/>
      <c r="T214" s="126"/>
      <c r="U214" s="126"/>
      <c r="V214" s="126"/>
      <c r="W214" s="126"/>
      <c r="X214" s="126"/>
      <c r="Y214" s="126"/>
      <c r="Z214" s="126"/>
      <c r="AA214" s="126"/>
      <c r="AB214" s="126"/>
      <c r="AC214" s="126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</row>
    <row r="215" spans="1:63" s="4" customFormat="1" ht="15" thickBot="1" x14ac:dyDescent="0.35">
      <c r="A215" s="60"/>
      <c r="B215" s="32"/>
      <c r="C215" s="33"/>
      <c r="D215" s="34"/>
      <c r="E215" s="33"/>
      <c r="F215" s="35"/>
      <c r="G215" s="36"/>
      <c r="H215" s="37"/>
      <c r="I215" s="38"/>
      <c r="J215" s="35"/>
      <c r="K215" s="39"/>
      <c r="L215" s="37"/>
      <c r="M215" s="123"/>
      <c r="N215" s="40"/>
      <c r="O215" s="41"/>
      <c r="P215" s="60"/>
      <c r="Q215" s="126"/>
      <c r="R215" s="126"/>
      <c r="S215" s="126"/>
      <c r="T215" s="126"/>
      <c r="U215" s="126"/>
      <c r="V215" s="126"/>
      <c r="W215" s="126"/>
      <c r="X215" s="126"/>
      <c r="Y215" s="126"/>
      <c r="Z215" s="126"/>
      <c r="AA215" s="126"/>
      <c r="AB215" s="126"/>
      <c r="AC215" s="126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</row>
    <row r="216" spans="1:63" s="92" customFormat="1" ht="13.2" x14ac:dyDescent="0.25">
      <c r="B216" s="108" t="s">
        <v>56</v>
      </c>
      <c r="C216" s="90"/>
      <c r="D216" s="90"/>
      <c r="E216" s="90"/>
      <c r="F216" s="109"/>
      <c r="G216" s="110"/>
      <c r="H216" s="152">
        <f>SUM(H207:H208,H199,H200:H203)</f>
        <v>47.0059635</v>
      </c>
      <c r="I216" s="111"/>
      <c r="J216" s="112"/>
      <c r="K216" s="112"/>
      <c r="L216" s="155">
        <f>SUM(L207:L208,L199,L200:L203)</f>
        <v>46.296508000000003</v>
      </c>
      <c r="M216" s="156"/>
      <c r="N216" s="157">
        <f>L216-H216</f>
        <v>-0.70945549999999713</v>
      </c>
      <c r="O216" s="98">
        <f>IF((H216)=0,"",(N216/H216))</f>
        <v>-1.5092882842407796E-2</v>
      </c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  <c r="AB216" s="128"/>
      <c r="AC216" s="128"/>
    </row>
    <row r="217" spans="1:63" s="92" customFormat="1" ht="13.2" x14ac:dyDescent="0.25">
      <c r="B217" s="113" t="s">
        <v>52</v>
      </c>
      <c r="C217" s="90"/>
      <c r="D217" s="90"/>
      <c r="E217" s="90"/>
      <c r="F217" s="114">
        <v>0.13</v>
      </c>
      <c r="G217" s="110"/>
      <c r="H217" s="153">
        <f>H216*F217</f>
        <v>6.1107752550000001</v>
      </c>
      <c r="I217" s="115"/>
      <c r="J217" s="116">
        <v>0.13</v>
      </c>
      <c r="K217" s="117"/>
      <c r="L217" s="158">
        <f>L216*J217</f>
        <v>6.0185460400000004</v>
      </c>
      <c r="M217" s="159"/>
      <c r="N217" s="160">
        <f>L217-H217</f>
        <v>-9.2229214999999698E-2</v>
      </c>
      <c r="O217" s="104">
        <f>IF((H217)=0,"",(N217/H217))</f>
        <v>-1.5092882842407809E-2</v>
      </c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</row>
    <row r="218" spans="1:63" s="92" customFormat="1" ht="13.2" x14ac:dyDescent="0.25">
      <c r="B218" s="118" t="s">
        <v>53</v>
      </c>
      <c r="C218" s="90"/>
      <c r="D218" s="90"/>
      <c r="E218" s="90"/>
      <c r="F218" s="119"/>
      <c r="G218" s="120"/>
      <c r="H218" s="153">
        <f>H216+H217</f>
        <v>53.116738755</v>
      </c>
      <c r="I218" s="115"/>
      <c r="J218" s="115"/>
      <c r="K218" s="115"/>
      <c r="L218" s="158">
        <f>L216+L217</f>
        <v>52.315054040000007</v>
      </c>
      <c r="M218" s="159"/>
      <c r="N218" s="160">
        <f>L218-H218</f>
        <v>-0.80168471499999328</v>
      </c>
      <c r="O218" s="104">
        <f>IF((H218)=0,"",(N218/H218))</f>
        <v>-1.5092882842407731E-2</v>
      </c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</row>
    <row r="219" spans="1:63" s="92" customFormat="1" ht="13.2" customHeight="1" x14ac:dyDescent="0.25">
      <c r="B219" s="174" t="s">
        <v>54</v>
      </c>
      <c r="C219" s="174"/>
      <c r="D219" s="174"/>
      <c r="E219" s="90"/>
      <c r="F219" s="119"/>
      <c r="G219" s="120"/>
      <c r="H219" s="154">
        <f>ROUND(-H218*10%,2)</f>
        <v>-5.31</v>
      </c>
      <c r="I219" s="115"/>
      <c r="J219" s="115"/>
      <c r="K219" s="115"/>
      <c r="L219" s="161">
        <f>ROUND(-L218*10%,2)</f>
        <v>-5.23</v>
      </c>
      <c r="M219" s="159"/>
      <c r="N219" s="162">
        <f>L219-H219</f>
        <v>7.9999999999999183E-2</v>
      </c>
      <c r="O219" s="107">
        <f>IF((H219)=0,"",(N219/H219))</f>
        <v>-1.5065913370997963E-2</v>
      </c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</row>
    <row r="220" spans="1:63" s="4" customFormat="1" ht="15" thickBot="1" x14ac:dyDescent="0.35">
      <c r="A220" s="60"/>
      <c r="B220" s="173" t="s">
        <v>57</v>
      </c>
      <c r="C220" s="173"/>
      <c r="D220" s="173"/>
      <c r="E220" s="42"/>
      <c r="F220" s="43"/>
      <c r="G220" s="44"/>
      <c r="H220" s="45">
        <f>SUM(H218:H219)</f>
        <v>47.806738754999998</v>
      </c>
      <c r="I220" s="46"/>
      <c r="J220" s="46"/>
      <c r="K220" s="46"/>
      <c r="L220" s="47">
        <f>SUM(L218:L219)</f>
        <v>47.085054040000003</v>
      </c>
      <c r="M220" s="48"/>
      <c r="N220" s="49">
        <f>L220-H220</f>
        <v>-0.72168471499999498</v>
      </c>
      <c r="O220" s="50">
        <f>IF((H220)=0,"",(N220/H220))</f>
        <v>-1.5095878401128452E-2</v>
      </c>
      <c r="P220" s="60"/>
      <c r="Q220" s="126"/>
      <c r="R220" s="126"/>
      <c r="S220" s="126"/>
      <c r="T220" s="126"/>
      <c r="U220" s="126"/>
      <c r="V220" s="126"/>
      <c r="W220" s="126"/>
      <c r="X220" s="126"/>
      <c r="Y220" s="126"/>
      <c r="Z220" s="126"/>
      <c r="AA220" s="126"/>
      <c r="AB220" s="126"/>
      <c r="AC220" s="126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</row>
    <row r="221" spans="1:63" s="4" customFormat="1" ht="15" thickBot="1" x14ac:dyDescent="0.35">
      <c r="A221" s="60"/>
      <c r="B221" s="32"/>
      <c r="C221" s="33"/>
      <c r="D221" s="34"/>
      <c r="E221" s="33"/>
      <c r="F221" s="35"/>
      <c r="G221" s="36"/>
      <c r="H221" s="122"/>
      <c r="I221" s="123"/>
      <c r="J221" s="35"/>
      <c r="K221" s="39"/>
      <c r="L221" s="37"/>
      <c r="M221" s="123"/>
      <c r="N221" s="40"/>
      <c r="O221" s="41"/>
      <c r="P221" s="60"/>
      <c r="Q221" s="126"/>
      <c r="R221" s="126"/>
      <c r="S221" s="126"/>
      <c r="T221" s="126"/>
      <c r="U221" s="126"/>
      <c r="V221" s="126"/>
      <c r="W221" s="126"/>
      <c r="X221" s="126"/>
      <c r="Y221" s="126"/>
      <c r="Z221" s="126"/>
      <c r="AA221" s="126"/>
      <c r="AB221" s="126"/>
      <c r="AC221" s="126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</row>
    <row r="222" spans="1:63" x14ac:dyDescent="0.3">
      <c r="L222" s="88"/>
    </row>
    <row r="223" spans="1:63" x14ac:dyDescent="0.3">
      <c r="B223" s="65" t="s">
        <v>58</v>
      </c>
      <c r="F223" s="51">
        <v>3.7699999999999997E-2</v>
      </c>
      <c r="J223" s="51">
        <f>+$J$74</f>
        <v>3.7600000000000001E-2</v>
      </c>
    </row>
    <row r="225" spans="1:29" x14ac:dyDescent="0.3">
      <c r="L225" s="56"/>
      <c r="M225" s="56"/>
      <c r="N225" s="56"/>
      <c r="O225" s="56"/>
      <c r="P225" s="56"/>
    </row>
    <row r="226" spans="1:29" ht="16.2" x14ac:dyDescent="0.3">
      <c r="A226" s="121" t="s">
        <v>59</v>
      </c>
    </row>
    <row r="228" spans="1:29" x14ac:dyDescent="0.3">
      <c r="A228" s="60" t="s">
        <v>60</v>
      </c>
    </row>
    <row r="229" spans="1:29" x14ac:dyDescent="0.3">
      <c r="A229" s="60" t="s">
        <v>61</v>
      </c>
    </row>
    <row r="231" spans="1:29" x14ac:dyDescent="0.3">
      <c r="B231" s="60" t="s">
        <v>62</v>
      </c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</row>
    <row r="233" spans="1:29" ht="18.75" customHeight="1" x14ac:dyDescent="0.3">
      <c r="B233" s="175" t="s">
        <v>6</v>
      </c>
      <c r="C233" s="175"/>
      <c r="D233" s="175"/>
      <c r="E233" s="175"/>
      <c r="F233" s="175"/>
      <c r="G233" s="175"/>
      <c r="H233" s="175"/>
      <c r="I233" s="175"/>
      <c r="J233" s="175"/>
      <c r="K233" s="175"/>
      <c r="L233" s="175"/>
      <c r="M233" s="175"/>
      <c r="N233" s="175"/>
      <c r="O233" s="175"/>
      <c r="P233" s="56"/>
    </row>
    <row r="234" spans="1:29" ht="18.75" customHeight="1" x14ac:dyDescent="0.3">
      <c r="B234" s="175" t="s">
        <v>7</v>
      </c>
      <c r="C234" s="175"/>
      <c r="D234" s="175"/>
      <c r="E234" s="175"/>
      <c r="F234" s="175"/>
      <c r="G234" s="175"/>
      <c r="H234" s="175"/>
      <c r="I234" s="175"/>
      <c r="J234" s="175"/>
      <c r="K234" s="175"/>
      <c r="L234" s="175"/>
      <c r="M234" s="175"/>
      <c r="N234" s="175"/>
      <c r="O234" s="175"/>
      <c r="P234" s="56"/>
    </row>
    <row r="235" spans="1:29" ht="7.5" customHeight="1" x14ac:dyDescent="0.3">
      <c r="L235" s="56"/>
      <c r="M235" s="56"/>
      <c r="N235" s="56"/>
      <c r="O235" s="56"/>
      <c r="P235" s="56"/>
    </row>
    <row r="236" spans="1:29" ht="7.5" customHeight="1" x14ac:dyDescent="0.3">
      <c r="L236" s="56"/>
      <c r="M236" s="56"/>
      <c r="N236" s="56"/>
      <c r="O236" s="56"/>
      <c r="P236" s="56"/>
    </row>
    <row r="237" spans="1:29" ht="15.6" x14ac:dyDescent="0.3">
      <c r="B237" s="61" t="s">
        <v>8</v>
      </c>
      <c r="D237" s="185" t="s">
        <v>66</v>
      </c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</row>
    <row r="238" spans="1:29" ht="7.5" customHeight="1" x14ac:dyDescent="0.3">
      <c r="B238" s="62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</row>
    <row r="239" spans="1:29" ht="15.6" x14ac:dyDescent="0.3">
      <c r="B239" s="61" t="s">
        <v>9</v>
      </c>
      <c r="D239" s="5" t="s">
        <v>10</v>
      </c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</row>
    <row r="240" spans="1:29" ht="15.6" x14ac:dyDescent="0.3">
      <c r="B240" s="62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</row>
    <row r="241" spans="2:15" x14ac:dyDescent="0.3">
      <c r="B241" s="64"/>
      <c r="D241" s="65" t="s">
        <v>11</v>
      </c>
      <c r="E241" s="65"/>
      <c r="F241" s="6">
        <v>500</v>
      </c>
      <c r="G241" s="65" t="s">
        <v>12</v>
      </c>
    </row>
    <row r="242" spans="2:15" x14ac:dyDescent="0.3">
      <c r="B242" s="64"/>
      <c r="G242" s="65"/>
    </row>
    <row r="243" spans="2:15" x14ac:dyDescent="0.3">
      <c r="B243" s="64"/>
      <c r="D243" s="66"/>
      <c r="E243" s="66"/>
      <c r="F243" s="176" t="s">
        <v>13</v>
      </c>
      <c r="G243" s="177"/>
      <c r="H243" s="178"/>
      <c r="J243" s="176" t="s">
        <v>14</v>
      </c>
      <c r="K243" s="177"/>
      <c r="L243" s="178"/>
      <c r="N243" s="176" t="s">
        <v>15</v>
      </c>
      <c r="O243" s="178"/>
    </row>
    <row r="244" spans="2:15" x14ac:dyDescent="0.3">
      <c r="B244" s="64"/>
      <c r="D244" s="179" t="s">
        <v>16</v>
      </c>
      <c r="E244" s="67"/>
      <c r="F244" s="68" t="s">
        <v>17</v>
      </c>
      <c r="G244" s="68" t="s">
        <v>18</v>
      </c>
      <c r="H244" s="69" t="s">
        <v>19</v>
      </c>
      <c r="J244" s="68" t="s">
        <v>17</v>
      </c>
      <c r="K244" s="70" t="s">
        <v>18</v>
      </c>
      <c r="L244" s="69" t="s">
        <v>19</v>
      </c>
      <c r="N244" s="181" t="s">
        <v>20</v>
      </c>
      <c r="O244" s="183" t="s">
        <v>21</v>
      </c>
    </row>
    <row r="245" spans="2:15" x14ac:dyDescent="0.3">
      <c r="B245" s="64"/>
      <c r="D245" s="180"/>
      <c r="E245" s="67"/>
      <c r="F245" s="71" t="s">
        <v>22</v>
      </c>
      <c r="G245" s="71"/>
      <c r="H245" s="72" t="s">
        <v>22</v>
      </c>
      <c r="J245" s="71" t="s">
        <v>22</v>
      </c>
      <c r="K245" s="72"/>
      <c r="L245" s="72" t="s">
        <v>22</v>
      </c>
      <c r="N245" s="182"/>
      <c r="O245" s="184"/>
    </row>
    <row r="246" spans="2:15" x14ac:dyDescent="0.3">
      <c r="B246" s="73" t="s">
        <v>23</v>
      </c>
      <c r="C246" s="73"/>
      <c r="D246" s="7" t="s">
        <v>24</v>
      </c>
      <c r="E246" s="73"/>
      <c r="F246" s="129">
        <v>13.11</v>
      </c>
      <c r="G246" s="74">
        <v>1</v>
      </c>
      <c r="H246" s="75">
        <f t="shared" ref="H246:H261" si="38">G246*F246</f>
        <v>13.11</v>
      </c>
      <c r="I246" s="76"/>
      <c r="J246" s="129">
        <v>14.42</v>
      </c>
      <c r="K246" s="77">
        <v>1</v>
      </c>
      <c r="L246" s="75">
        <f t="shared" ref="L246:L261" si="39">K246*J246</f>
        <v>14.42</v>
      </c>
      <c r="M246" s="76"/>
      <c r="N246" s="78">
        <f t="shared" ref="N246:N282" si="40">L246-H246</f>
        <v>1.3100000000000005</v>
      </c>
      <c r="O246" s="79">
        <f t="shared" ref="O246:O268" si="41">IF((H246)=0,"",(N246/H246))</f>
        <v>9.9923722349351679E-2</v>
      </c>
    </row>
    <row r="247" spans="2:15" x14ac:dyDescent="0.3">
      <c r="B247" s="73" t="s">
        <v>25</v>
      </c>
      <c r="C247" s="73"/>
      <c r="D247" s="7" t="s">
        <v>24</v>
      </c>
      <c r="E247" s="73"/>
      <c r="F247" s="133">
        <v>2.4900000000000002</v>
      </c>
      <c r="G247" s="74">
        <v>1</v>
      </c>
      <c r="H247" s="136">
        <f t="shared" si="38"/>
        <v>2.4900000000000002</v>
      </c>
      <c r="I247" s="76"/>
      <c r="J247" s="130"/>
      <c r="K247" s="77">
        <v>1</v>
      </c>
      <c r="L247" s="136">
        <f t="shared" si="39"/>
        <v>0</v>
      </c>
      <c r="M247" s="76"/>
      <c r="N247" s="137">
        <f t="shared" si="40"/>
        <v>-2.4900000000000002</v>
      </c>
      <c r="O247" s="79">
        <f t="shared" si="41"/>
        <v>-1</v>
      </c>
    </row>
    <row r="248" spans="2:15" x14ac:dyDescent="0.3">
      <c r="B248" s="9"/>
      <c r="C248" s="73"/>
      <c r="D248" s="7"/>
      <c r="E248" s="73"/>
      <c r="F248" s="134"/>
      <c r="G248" s="74">
        <v>1</v>
      </c>
      <c r="H248" s="136">
        <f t="shared" si="38"/>
        <v>0</v>
      </c>
      <c r="I248" s="76"/>
      <c r="J248" s="131"/>
      <c r="K248" s="77">
        <v>1</v>
      </c>
      <c r="L248" s="136">
        <f t="shared" si="39"/>
        <v>0</v>
      </c>
      <c r="M248" s="76"/>
      <c r="N248" s="137">
        <f t="shared" si="40"/>
        <v>0</v>
      </c>
      <c r="O248" s="79" t="str">
        <f t="shared" si="41"/>
        <v/>
      </c>
    </row>
    <row r="249" spans="2:15" x14ac:dyDescent="0.3">
      <c r="B249" s="9"/>
      <c r="C249" s="73"/>
      <c r="D249" s="7"/>
      <c r="E249" s="73"/>
      <c r="F249" s="134"/>
      <c r="G249" s="74">
        <v>1</v>
      </c>
      <c r="H249" s="136">
        <f t="shared" si="38"/>
        <v>0</v>
      </c>
      <c r="I249" s="76"/>
      <c r="J249" s="131"/>
      <c r="K249" s="77">
        <v>1</v>
      </c>
      <c r="L249" s="136">
        <f t="shared" si="39"/>
        <v>0</v>
      </c>
      <c r="M249" s="76"/>
      <c r="N249" s="137">
        <f t="shared" si="40"/>
        <v>0</v>
      </c>
      <c r="O249" s="79" t="str">
        <f t="shared" si="41"/>
        <v/>
      </c>
    </row>
    <row r="250" spans="2:15" x14ac:dyDescent="0.3">
      <c r="B250" s="10"/>
      <c r="C250" s="73"/>
      <c r="D250" s="7"/>
      <c r="E250" s="73"/>
      <c r="F250" s="134"/>
      <c r="G250" s="74">
        <v>1</v>
      </c>
      <c r="H250" s="136">
        <f t="shared" si="38"/>
        <v>0</v>
      </c>
      <c r="I250" s="76"/>
      <c r="J250" s="131"/>
      <c r="K250" s="77">
        <v>1</v>
      </c>
      <c r="L250" s="136">
        <f t="shared" si="39"/>
        <v>0</v>
      </c>
      <c r="M250" s="76"/>
      <c r="N250" s="137">
        <f t="shared" si="40"/>
        <v>0</v>
      </c>
      <c r="O250" s="79" t="str">
        <f t="shared" si="41"/>
        <v/>
      </c>
    </row>
    <row r="251" spans="2:15" x14ac:dyDescent="0.3">
      <c r="B251" s="10"/>
      <c r="C251" s="73"/>
      <c r="D251" s="7"/>
      <c r="E251" s="73"/>
      <c r="F251" s="134"/>
      <c r="G251" s="74">
        <v>1</v>
      </c>
      <c r="H251" s="136">
        <f t="shared" si="38"/>
        <v>0</v>
      </c>
      <c r="I251" s="76"/>
      <c r="J251" s="131"/>
      <c r="K251" s="77">
        <v>1</v>
      </c>
      <c r="L251" s="136">
        <f t="shared" si="39"/>
        <v>0</v>
      </c>
      <c r="M251" s="76"/>
      <c r="N251" s="137">
        <f t="shared" si="40"/>
        <v>0</v>
      </c>
      <c r="O251" s="79" t="str">
        <f t="shared" si="41"/>
        <v/>
      </c>
    </row>
    <row r="252" spans="2:15" x14ac:dyDescent="0.3">
      <c r="B252" s="73" t="s">
        <v>26</v>
      </c>
      <c r="C252" s="73"/>
      <c r="D252" s="7" t="s">
        <v>27</v>
      </c>
      <c r="E252" s="73"/>
      <c r="F252" s="135">
        <v>1.43E-2</v>
      </c>
      <c r="G252" s="74">
        <f>$F$241</f>
        <v>500</v>
      </c>
      <c r="H252" s="136">
        <f t="shared" si="38"/>
        <v>7.15</v>
      </c>
      <c r="I252" s="76"/>
      <c r="J252" s="132">
        <v>1.5699999999999999E-2</v>
      </c>
      <c r="K252" s="74">
        <f>$F$241</f>
        <v>500</v>
      </c>
      <c r="L252" s="136">
        <f t="shared" si="39"/>
        <v>7.85</v>
      </c>
      <c r="M252" s="76"/>
      <c r="N252" s="137">
        <f t="shared" si="40"/>
        <v>0.69999999999999929</v>
      </c>
      <c r="O252" s="79">
        <f t="shared" si="41"/>
        <v>9.7902097902097793E-2</v>
      </c>
    </row>
    <row r="253" spans="2:15" x14ac:dyDescent="0.3">
      <c r="B253" s="73" t="s">
        <v>28</v>
      </c>
      <c r="C253" s="73"/>
      <c r="D253" s="7" t="s">
        <v>24</v>
      </c>
      <c r="E253" s="73"/>
      <c r="F253" s="135">
        <v>-0.03</v>
      </c>
      <c r="G253" s="74">
        <v>1</v>
      </c>
      <c r="H253" s="136">
        <f t="shared" si="38"/>
        <v>-0.03</v>
      </c>
      <c r="I253" s="76"/>
      <c r="J253" s="132"/>
      <c r="K253" s="74">
        <v>1</v>
      </c>
      <c r="L253" s="136">
        <f t="shared" si="39"/>
        <v>0</v>
      </c>
      <c r="M253" s="76"/>
      <c r="N253" s="137">
        <f t="shared" si="40"/>
        <v>0.03</v>
      </c>
      <c r="O253" s="79">
        <f t="shared" si="41"/>
        <v>-1</v>
      </c>
    </row>
    <row r="254" spans="2:15" x14ac:dyDescent="0.3">
      <c r="B254" s="73" t="s">
        <v>29</v>
      </c>
      <c r="C254" s="73"/>
      <c r="D254" s="7" t="s">
        <v>27</v>
      </c>
      <c r="E254" s="73"/>
      <c r="F254" s="135">
        <v>2.9999999999999997E-4</v>
      </c>
      <c r="G254" s="74">
        <f t="shared" ref="G254:G256" si="42">$F$241</f>
        <v>500</v>
      </c>
      <c r="H254" s="136">
        <f t="shared" si="38"/>
        <v>0.15</v>
      </c>
      <c r="I254" s="76"/>
      <c r="J254" s="171">
        <v>0</v>
      </c>
      <c r="K254" s="74">
        <f t="shared" ref="K254:K256" si="43">$F$241</f>
        <v>500</v>
      </c>
      <c r="L254" s="136">
        <f t="shared" si="39"/>
        <v>0</v>
      </c>
      <c r="M254" s="76"/>
      <c r="N254" s="137">
        <f t="shared" si="40"/>
        <v>-0.15</v>
      </c>
      <c r="O254" s="79">
        <f t="shared" si="41"/>
        <v>-1</v>
      </c>
    </row>
    <row r="255" spans="2:15" x14ac:dyDescent="0.3">
      <c r="B255" s="11" t="s">
        <v>30</v>
      </c>
      <c r="C255" s="73"/>
      <c r="D255" s="7" t="s">
        <v>27</v>
      </c>
      <c r="E255" s="73"/>
      <c r="F255" s="135">
        <v>1.8E-3</v>
      </c>
      <c r="G255" s="74">
        <f t="shared" si="42"/>
        <v>500</v>
      </c>
      <c r="H255" s="136">
        <f t="shared" si="38"/>
        <v>0.9</v>
      </c>
      <c r="I255" s="76"/>
      <c r="J255" s="132"/>
      <c r="K255" s="74">
        <f t="shared" si="43"/>
        <v>500</v>
      </c>
      <c r="L255" s="136">
        <f t="shared" si="39"/>
        <v>0</v>
      </c>
      <c r="M255" s="76"/>
      <c r="N255" s="137">
        <f t="shared" si="40"/>
        <v>-0.9</v>
      </c>
      <c r="O255" s="79">
        <f t="shared" si="41"/>
        <v>-1</v>
      </c>
    </row>
    <row r="256" spans="2:15" x14ac:dyDescent="0.3">
      <c r="B256" s="11" t="s">
        <v>31</v>
      </c>
      <c r="C256" s="73"/>
      <c r="D256" s="7" t="s">
        <v>27</v>
      </c>
      <c r="E256" s="73"/>
      <c r="F256" s="135">
        <v>-2.9999999999999997E-4</v>
      </c>
      <c r="G256" s="74">
        <f t="shared" si="42"/>
        <v>500</v>
      </c>
      <c r="H256" s="136">
        <f t="shared" si="38"/>
        <v>-0.15</v>
      </c>
      <c r="I256" s="76"/>
      <c r="J256" s="132"/>
      <c r="K256" s="74">
        <f t="shared" si="43"/>
        <v>500</v>
      </c>
      <c r="L256" s="136">
        <f t="shared" si="39"/>
        <v>0</v>
      </c>
      <c r="M256" s="76"/>
      <c r="N256" s="137">
        <f t="shared" si="40"/>
        <v>0.15</v>
      </c>
      <c r="O256" s="79">
        <f t="shared" si="41"/>
        <v>-1</v>
      </c>
    </row>
    <row r="257" spans="1:63" x14ac:dyDescent="0.3">
      <c r="B257" s="11" t="s">
        <v>32</v>
      </c>
      <c r="C257" s="73"/>
      <c r="D257" s="7" t="s">
        <v>24</v>
      </c>
      <c r="E257" s="73"/>
      <c r="F257" s="135">
        <v>0</v>
      </c>
      <c r="G257" s="74">
        <v>1</v>
      </c>
      <c r="H257" s="136">
        <f t="shared" si="38"/>
        <v>0</v>
      </c>
      <c r="I257" s="76"/>
      <c r="J257" s="132">
        <v>0.77</v>
      </c>
      <c r="K257" s="74">
        <v>1</v>
      </c>
      <c r="L257" s="136">
        <f t="shared" si="39"/>
        <v>0.77</v>
      </c>
      <c r="M257" s="76"/>
      <c r="N257" s="137">
        <f t="shared" si="40"/>
        <v>0.77</v>
      </c>
      <c r="O257" s="79" t="str">
        <f t="shared" si="41"/>
        <v/>
      </c>
    </row>
    <row r="258" spans="1:63" x14ac:dyDescent="0.3">
      <c r="B258" s="12" t="str">
        <f>+$B$35</f>
        <v>Rate Rider for Disposition of Account 1576</v>
      </c>
      <c r="C258" s="73"/>
      <c r="D258" s="7" t="s">
        <v>27</v>
      </c>
      <c r="E258" s="73"/>
      <c r="F258" s="134"/>
      <c r="G258" s="74">
        <f t="shared" ref="G258:G267" si="44">$F$241</f>
        <v>500</v>
      </c>
      <c r="H258" s="136">
        <f t="shared" si="38"/>
        <v>0</v>
      </c>
      <c r="I258" s="76"/>
      <c r="J258" s="132">
        <v>-5.9999999999999995E-4</v>
      </c>
      <c r="K258" s="74">
        <f t="shared" ref="K258:K261" si="45">$F$241</f>
        <v>500</v>
      </c>
      <c r="L258" s="136">
        <f t="shared" si="39"/>
        <v>-0.3</v>
      </c>
      <c r="M258" s="76"/>
      <c r="N258" s="137">
        <f t="shared" si="40"/>
        <v>-0.3</v>
      </c>
      <c r="O258" s="79" t="str">
        <f t="shared" si="41"/>
        <v/>
      </c>
    </row>
    <row r="259" spans="1:63" x14ac:dyDescent="0.3">
      <c r="B259" s="12" t="str">
        <f>+$B$36</f>
        <v xml:space="preserve">Rate Rider for Disposition of CGAAP CWIP differential </v>
      </c>
      <c r="C259" s="73"/>
      <c r="D259" s="7" t="s">
        <v>27</v>
      </c>
      <c r="E259" s="73"/>
      <c r="F259" s="134"/>
      <c r="G259" s="74">
        <f t="shared" si="44"/>
        <v>500</v>
      </c>
      <c r="H259" s="136">
        <f t="shared" si="38"/>
        <v>0</v>
      </c>
      <c r="I259" s="76"/>
      <c r="J259" s="132">
        <v>2.9999999999999997E-4</v>
      </c>
      <c r="K259" s="74">
        <f t="shared" si="45"/>
        <v>500</v>
      </c>
      <c r="L259" s="136">
        <f t="shared" si="39"/>
        <v>0.15</v>
      </c>
      <c r="M259" s="76"/>
      <c r="N259" s="137">
        <f t="shared" si="40"/>
        <v>0.15</v>
      </c>
      <c r="O259" s="79" t="str">
        <f t="shared" si="41"/>
        <v/>
      </c>
    </row>
    <row r="260" spans="1:63" x14ac:dyDescent="0.3">
      <c r="B260" s="12" t="str">
        <f>+$B$37</f>
        <v xml:space="preserve">Rate Rider for Disposition of Incremental Capital Expenditures </v>
      </c>
      <c r="C260" s="73"/>
      <c r="D260" s="7" t="s">
        <v>27</v>
      </c>
      <c r="E260" s="73"/>
      <c r="F260" s="131"/>
      <c r="G260" s="74">
        <f t="shared" si="44"/>
        <v>500</v>
      </c>
      <c r="H260" s="136">
        <f t="shared" si="38"/>
        <v>0</v>
      </c>
      <c r="I260" s="76"/>
      <c r="J260" s="132">
        <v>2.0000000000000001E-4</v>
      </c>
      <c r="K260" s="74">
        <f t="shared" si="45"/>
        <v>500</v>
      </c>
      <c r="L260" s="136">
        <f t="shared" si="39"/>
        <v>0.1</v>
      </c>
      <c r="M260" s="76"/>
      <c r="N260" s="137">
        <f t="shared" si="40"/>
        <v>0.1</v>
      </c>
      <c r="O260" s="79" t="str">
        <f t="shared" si="41"/>
        <v/>
      </c>
    </row>
    <row r="261" spans="1:63" x14ac:dyDescent="0.3">
      <c r="B261" s="12"/>
      <c r="C261" s="73"/>
      <c r="D261" s="7"/>
      <c r="E261" s="73"/>
      <c r="F261" s="131"/>
      <c r="G261" s="74">
        <f t="shared" si="44"/>
        <v>500</v>
      </c>
      <c r="H261" s="136">
        <f t="shared" si="38"/>
        <v>0</v>
      </c>
      <c r="I261" s="76"/>
      <c r="J261" s="131"/>
      <c r="K261" s="74">
        <f t="shared" si="45"/>
        <v>500</v>
      </c>
      <c r="L261" s="136">
        <f t="shared" si="39"/>
        <v>0</v>
      </c>
      <c r="M261" s="76"/>
      <c r="N261" s="137">
        <f t="shared" si="40"/>
        <v>0</v>
      </c>
      <c r="O261" s="79" t="str">
        <f t="shared" si="41"/>
        <v/>
      </c>
    </row>
    <row r="262" spans="1:63" s="4" customFormat="1" x14ac:dyDescent="0.3">
      <c r="A262" s="60"/>
      <c r="B262" s="19" t="s">
        <v>33</v>
      </c>
      <c r="C262" s="20"/>
      <c r="D262" s="20"/>
      <c r="E262" s="20"/>
      <c r="F262" s="21"/>
      <c r="G262" s="22"/>
      <c r="H262" s="23">
        <f>SUM(H246:H261)</f>
        <v>23.619999999999997</v>
      </c>
      <c r="I262" s="13"/>
      <c r="J262" s="14"/>
      <c r="K262" s="24"/>
      <c r="L262" s="23">
        <f>SUM(L246:L261)</f>
        <v>22.99</v>
      </c>
      <c r="M262" s="13"/>
      <c r="N262" s="15">
        <f t="shared" si="40"/>
        <v>-0.62999999999999901</v>
      </c>
      <c r="O262" s="16">
        <f t="shared" si="41"/>
        <v>-2.6672311600338658E-2</v>
      </c>
      <c r="P262" s="60"/>
      <c r="Q262" s="126"/>
      <c r="R262" s="126"/>
      <c r="S262" s="126"/>
      <c r="T262" s="126"/>
      <c r="U262" s="126"/>
      <c r="V262" s="126"/>
      <c r="W262" s="126"/>
      <c r="X262" s="126"/>
      <c r="Y262" s="126"/>
      <c r="Z262" s="126"/>
      <c r="AA262" s="126"/>
      <c r="AB262" s="126"/>
      <c r="AC262" s="126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0"/>
      <c r="AT262" s="60"/>
      <c r="AU262" s="60"/>
      <c r="AV262" s="60"/>
      <c r="AW262" s="60"/>
      <c r="AX262" s="60"/>
      <c r="AY262" s="60"/>
      <c r="AZ262" s="60"/>
      <c r="BA262" s="60"/>
      <c r="BB262" s="60"/>
      <c r="BC262" s="60"/>
      <c r="BD262" s="60"/>
      <c r="BE262" s="60"/>
      <c r="BF262" s="60"/>
      <c r="BG262" s="60"/>
      <c r="BH262" s="60"/>
      <c r="BI262" s="60"/>
      <c r="BJ262" s="60"/>
      <c r="BK262" s="60"/>
    </row>
    <row r="263" spans="1:63" x14ac:dyDescent="0.3">
      <c r="B263" s="17" t="s">
        <v>34</v>
      </c>
      <c r="C263" s="73"/>
      <c r="D263" s="7" t="s">
        <v>27</v>
      </c>
      <c r="E263" s="73"/>
      <c r="F263" s="135">
        <v>2.9999999999999997E-4</v>
      </c>
      <c r="G263" s="74">
        <f t="shared" si="44"/>
        <v>500</v>
      </c>
      <c r="H263" s="136">
        <f t="shared" ref="H263:H269" si="46">G263*F263</f>
        <v>0.15</v>
      </c>
      <c r="I263" s="76"/>
      <c r="J263" s="135">
        <v>-5.0000000000000001E-4</v>
      </c>
      <c r="K263" s="74">
        <f t="shared" ref="K263:K267" si="47">$F$241</f>
        <v>500</v>
      </c>
      <c r="L263" s="136">
        <f t="shared" ref="L263:L269" si="48">K263*J263</f>
        <v>-0.25</v>
      </c>
      <c r="M263" s="76"/>
      <c r="N263" s="137">
        <f t="shared" si="40"/>
        <v>-0.4</v>
      </c>
      <c r="O263" s="79">
        <f t="shared" si="41"/>
        <v>-2.666666666666667</v>
      </c>
    </row>
    <row r="264" spans="1:63" x14ac:dyDescent="0.3">
      <c r="B264" s="17"/>
      <c r="C264" s="73"/>
      <c r="D264" s="7"/>
      <c r="E264" s="73"/>
      <c r="F264" s="8"/>
      <c r="G264" s="74">
        <f t="shared" si="44"/>
        <v>500</v>
      </c>
      <c r="H264" s="136">
        <f t="shared" si="46"/>
        <v>0</v>
      </c>
      <c r="I264" s="82"/>
      <c r="J264" s="8"/>
      <c r="K264" s="74">
        <f t="shared" si="47"/>
        <v>500</v>
      </c>
      <c r="L264" s="136">
        <f t="shared" si="48"/>
        <v>0</v>
      </c>
      <c r="M264" s="83"/>
      <c r="N264" s="137">
        <f t="shared" si="40"/>
        <v>0</v>
      </c>
      <c r="O264" s="79" t="str">
        <f t="shared" si="41"/>
        <v/>
      </c>
    </row>
    <row r="265" spans="1:63" x14ac:dyDescent="0.3">
      <c r="B265" s="17"/>
      <c r="C265" s="73"/>
      <c r="D265" s="7"/>
      <c r="E265" s="73"/>
      <c r="F265" s="8"/>
      <c r="G265" s="74">
        <f t="shared" si="44"/>
        <v>500</v>
      </c>
      <c r="H265" s="136">
        <f t="shared" si="46"/>
        <v>0</v>
      </c>
      <c r="I265" s="82"/>
      <c r="J265" s="8"/>
      <c r="K265" s="74">
        <f t="shared" si="47"/>
        <v>500</v>
      </c>
      <c r="L265" s="136">
        <f t="shared" si="48"/>
        <v>0</v>
      </c>
      <c r="M265" s="83"/>
      <c r="N265" s="137">
        <f t="shared" si="40"/>
        <v>0</v>
      </c>
      <c r="O265" s="79" t="str">
        <f t="shared" si="41"/>
        <v/>
      </c>
    </row>
    <row r="266" spans="1:63" x14ac:dyDescent="0.3">
      <c r="B266" s="17"/>
      <c r="C266" s="73"/>
      <c r="D266" s="7"/>
      <c r="E266" s="73"/>
      <c r="F266" s="8"/>
      <c r="G266" s="74">
        <f t="shared" si="44"/>
        <v>500</v>
      </c>
      <c r="H266" s="136">
        <f t="shared" si="46"/>
        <v>0</v>
      </c>
      <c r="I266" s="82"/>
      <c r="J266" s="8"/>
      <c r="K266" s="74">
        <f t="shared" si="47"/>
        <v>500</v>
      </c>
      <c r="L266" s="136">
        <f t="shared" si="48"/>
        <v>0</v>
      </c>
      <c r="M266" s="83"/>
      <c r="N266" s="137">
        <f t="shared" si="40"/>
        <v>0</v>
      </c>
      <c r="O266" s="79" t="str">
        <f t="shared" si="41"/>
        <v/>
      </c>
    </row>
    <row r="267" spans="1:63" x14ac:dyDescent="0.3">
      <c r="B267" s="80" t="s">
        <v>35</v>
      </c>
      <c r="C267" s="73"/>
      <c r="D267" s="7" t="s">
        <v>27</v>
      </c>
      <c r="E267" s="73"/>
      <c r="F267" s="135">
        <v>2.0000000000000001E-4</v>
      </c>
      <c r="G267" s="74">
        <f t="shared" si="44"/>
        <v>500</v>
      </c>
      <c r="H267" s="136">
        <f t="shared" si="46"/>
        <v>0.1</v>
      </c>
      <c r="I267" s="76"/>
      <c r="J267" s="135">
        <v>4.0000000000000002E-4</v>
      </c>
      <c r="K267" s="74">
        <f t="shared" si="47"/>
        <v>500</v>
      </c>
      <c r="L267" s="136">
        <f t="shared" si="48"/>
        <v>0.2</v>
      </c>
      <c r="M267" s="76"/>
      <c r="N267" s="137">
        <f t="shared" si="40"/>
        <v>0.1</v>
      </c>
      <c r="O267" s="79">
        <f t="shared" si="41"/>
        <v>1</v>
      </c>
    </row>
    <row r="268" spans="1:63" x14ac:dyDescent="0.3">
      <c r="B268" s="80" t="s">
        <v>36</v>
      </c>
      <c r="C268" s="73"/>
      <c r="D268" s="7" t="s">
        <v>27</v>
      </c>
      <c r="E268" s="73"/>
      <c r="F268" s="138">
        <f>IF(ISBLANK(D239)=TRUE, 0, IF(D239="TOU", 0.64*$F278+0.18*$F279+0.18*$F280, IF(AND(D239="non-TOU", G282&gt;0), F282,F281)))</f>
        <v>8.3919999999999995E-2</v>
      </c>
      <c r="G268" s="18">
        <f>$F$241*(1+$F$297)-$F$241</f>
        <v>18.850000000000023</v>
      </c>
      <c r="H268" s="136">
        <f t="shared" si="46"/>
        <v>1.5818920000000019</v>
      </c>
      <c r="I268" s="76"/>
      <c r="J268" s="138">
        <f>0.64*$F278+0.18*$F279+0.18*$F280</f>
        <v>8.3919999999999995E-2</v>
      </c>
      <c r="K268" s="18">
        <f>$F$241*(1+$J$297)-$F$241</f>
        <v>18.800000000000068</v>
      </c>
      <c r="L268" s="136">
        <f t="shared" si="48"/>
        <v>1.5776960000000055</v>
      </c>
      <c r="M268" s="76"/>
      <c r="N268" s="137">
        <f t="shared" si="40"/>
        <v>-4.1959999999963138E-3</v>
      </c>
      <c r="O268" s="79">
        <f t="shared" si="41"/>
        <v>-2.6525198938968709E-3</v>
      </c>
    </row>
    <row r="269" spans="1:63" x14ac:dyDescent="0.3">
      <c r="B269" s="80" t="s">
        <v>37</v>
      </c>
      <c r="C269" s="73"/>
      <c r="D269" s="7" t="s">
        <v>24</v>
      </c>
      <c r="E269" s="73"/>
      <c r="F269" s="138">
        <v>0.79</v>
      </c>
      <c r="G269" s="74">
        <v>1</v>
      </c>
      <c r="H269" s="136">
        <f t="shared" si="46"/>
        <v>0.79</v>
      </c>
      <c r="I269" s="76"/>
      <c r="J269" s="138">
        <v>0.79</v>
      </c>
      <c r="K269" s="81">
        <v>1</v>
      </c>
      <c r="L269" s="136">
        <f t="shared" si="48"/>
        <v>0.79</v>
      </c>
      <c r="M269" s="76"/>
      <c r="N269" s="137">
        <f t="shared" si="40"/>
        <v>0</v>
      </c>
      <c r="O269" s="79"/>
    </row>
    <row r="270" spans="1:63" s="4" customFormat="1" x14ac:dyDescent="0.3">
      <c r="A270" s="60"/>
      <c r="B270" s="19" t="s">
        <v>38</v>
      </c>
      <c r="C270" s="20"/>
      <c r="D270" s="20"/>
      <c r="E270" s="20"/>
      <c r="F270" s="21"/>
      <c r="G270" s="22"/>
      <c r="H270" s="23">
        <f>SUM(H263:H269)+H262</f>
        <v>26.241892</v>
      </c>
      <c r="I270" s="13"/>
      <c r="J270" s="22"/>
      <c r="K270" s="24"/>
      <c r="L270" s="23">
        <f>SUM(L263:L269)+L262</f>
        <v>25.307696000000004</v>
      </c>
      <c r="M270" s="13"/>
      <c r="N270" s="15">
        <f t="shared" si="40"/>
        <v>-0.93419599999999647</v>
      </c>
      <c r="O270" s="16">
        <f t="shared" ref="O270:O282" si="49">IF((H270)=0,"",(N270/H270))</f>
        <v>-3.5599414859263823E-2</v>
      </c>
      <c r="P270" s="60"/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  <c r="AA270" s="126"/>
      <c r="AB270" s="126"/>
      <c r="AC270" s="126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</row>
    <row r="271" spans="1:63" x14ac:dyDescent="0.3">
      <c r="B271" s="76" t="s">
        <v>39</v>
      </c>
      <c r="C271" s="76"/>
      <c r="D271" s="25" t="s">
        <v>27</v>
      </c>
      <c r="E271" s="76"/>
      <c r="F271" s="135">
        <v>8.0000000000000002E-3</v>
      </c>
      <c r="G271" s="18">
        <f>F241*(1+F297)</f>
        <v>518.85</v>
      </c>
      <c r="H271" s="136">
        <f>G271*F271</f>
        <v>4.1508000000000003</v>
      </c>
      <c r="I271" s="76"/>
      <c r="J271" s="135">
        <f>+$J$48</f>
        <v>7.9000000000000008E-3</v>
      </c>
      <c r="K271" s="18">
        <f>F241*(1+J297)</f>
        <v>518.80000000000007</v>
      </c>
      <c r="L271" s="136">
        <f>K271*J271</f>
        <v>4.0985200000000006</v>
      </c>
      <c r="M271" s="76"/>
      <c r="N271" s="136">
        <f t="shared" si="40"/>
        <v>-5.227999999999966E-2</v>
      </c>
      <c r="O271" s="79">
        <f t="shared" si="49"/>
        <v>-1.2595162378336624E-2</v>
      </c>
    </row>
    <row r="272" spans="1:63" x14ac:dyDescent="0.3">
      <c r="B272" s="85" t="s">
        <v>40</v>
      </c>
      <c r="C272" s="76"/>
      <c r="D272" s="25" t="s">
        <v>27</v>
      </c>
      <c r="E272" s="76"/>
      <c r="F272" s="135">
        <v>5.4999999999999997E-3</v>
      </c>
      <c r="G272" s="18">
        <f>G271</f>
        <v>518.85</v>
      </c>
      <c r="H272" s="136">
        <f>G272*F272</f>
        <v>2.853675</v>
      </c>
      <c r="I272" s="76"/>
      <c r="J272" s="135">
        <f>+$J$49</f>
        <v>5.3E-3</v>
      </c>
      <c r="K272" s="18">
        <f>K271</f>
        <v>518.80000000000007</v>
      </c>
      <c r="L272" s="136">
        <f>K272*J272</f>
        <v>2.7496400000000003</v>
      </c>
      <c r="M272" s="76"/>
      <c r="N272" s="136">
        <f t="shared" si="40"/>
        <v>-0.10403499999999966</v>
      </c>
      <c r="O272" s="79">
        <f t="shared" si="49"/>
        <v>-3.6456499075753074E-2</v>
      </c>
    </row>
    <row r="273" spans="1:63" s="4" customFormat="1" x14ac:dyDescent="0.3">
      <c r="A273" s="60"/>
      <c r="B273" s="19" t="s">
        <v>41</v>
      </c>
      <c r="C273" s="20"/>
      <c r="D273" s="20"/>
      <c r="E273" s="20"/>
      <c r="F273" s="21"/>
      <c r="G273" s="22"/>
      <c r="H273" s="23">
        <f>SUM(H270:H272)</f>
        <v>33.246366999999999</v>
      </c>
      <c r="I273" s="13"/>
      <c r="J273" s="26"/>
      <c r="K273" s="22"/>
      <c r="L273" s="23">
        <f>SUM(L270:L272)</f>
        <v>32.155856000000007</v>
      </c>
      <c r="M273" s="13"/>
      <c r="N273" s="15">
        <f t="shared" si="40"/>
        <v>-1.0905109999999922</v>
      </c>
      <c r="O273" s="16">
        <f t="shared" si="49"/>
        <v>-3.2800907238977189E-2</v>
      </c>
      <c r="P273" s="60"/>
      <c r="Q273" s="126"/>
      <c r="R273" s="126"/>
      <c r="S273" s="126"/>
      <c r="T273" s="126"/>
      <c r="U273" s="126"/>
      <c r="V273" s="126"/>
      <c r="W273" s="126"/>
      <c r="X273" s="126"/>
      <c r="Y273" s="126"/>
      <c r="Z273" s="126"/>
      <c r="AA273" s="126"/>
      <c r="AB273" s="126"/>
      <c r="AC273" s="126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T273" s="60"/>
      <c r="AU273" s="60"/>
      <c r="AV273" s="60"/>
      <c r="AW273" s="60"/>
      <c r="AX273" s="60"/>
      <c r="AY273" s="60"/>
      <c r="AZ273" s="60"/>
      <c r="BA273" s="60"/>
      <c r="BB273" s="60"/>
      <c r="BC273" s="60"/>
      <c r="BD273" s="60"/>
      <c r="BE273" s="60"/>
      <c r="BF273" s="60"/>
      <c r="BG273" s="60"/>
      <c r="BH273" s="60"/>
      <c r="BI273" s="60"/>
      <c r="BJ273" s="60"/>
      <c r="BK273" s="60"/>
    </row>
    <row r="274" spans="1:63" x14ac:dyDescent="0.3">
      <c r="B274" s="86" t="s">
        <v>42</v>
      </c>
      <c r="C274" s="73"/>
      <c r="D274" s="7" t="s">
        <v>27</v>
      </c>
      <c r="E274" s="73"/>
      <c r="F274" s="135">
        <v>4.4000000000000003E-3</v>
      </c>
      <c r="G274" s="18">
        <f>G272</f>
        <v>518.85</v>
      </c>
      <c r="H274" s="139">
        <f t="shared" ref="H274:H282" si="50">G274*F274</f>
        <v>2.2829400000000004</v>
      </c>
      <c r="I274" s="76"/>
      <c r="J274" s="135">
        <v>4.4000000000000003E-3</v>
      </c>
      <c r="K274" s="18">
        <f>K272</f>
        <v>518.80000000000007</v>
      </c>
      <c r="L274" s="139">
        <f t="shared" ref="L274:L282" si="51">K274*J274</f>
        <v>2.2827200000000003</v>
      </c>
      <c r="M274" s="76"/>
      <c r="N274" s="137">
        <f t="shared" si="40"/>
        <v>-2.20000000000109E-4</v>
      </c>
      <c r="O274" s="87">
        <f t="shared" si="49"/>
        <v>-9.6366965404307147E-5</v>
      </c>
    </row>
    <row r="275" spans="1:63" x14ac:dyDescent="0.3">
      <c r="B275" s="86" t="s">
        <v>43</v>
      </c>
      <c r="C275" s="73"/>
      <c r="D275" s="7" t="s">
        <v>27</v>
      </c>
      <c r="E275" s="73"/>
      <c r="F275" s="135">
        <v>1.1999999999999999E-3</v>
      </c>
      <c r="G275" s="18">
        <f>G272</f>
        <v>518.85</v>
      </c>
      <c r="H275" s="139">
        <f t="shared" si="50"/>
        <v>0.62261999999999995</v>
      </c>
      <c r="I275" s="76"/>
      <c r="J275" s="135">
        <v>1.2999999999999999E-3</v>
      </c>
      <c r="K275" s="18">
        <f>K272</f>
        <v>518.80000000000007</v>
      </c>
      <c r="L275" s="139">
        <f t="shared" si="51"/>
        <v>0.67444000000000004</v>
      </c>
      <c r="M275" s="76"/>
      <c r="N275" s="137">
        <f t="shared" si="40"/>
        <v>5.1820000000000088E-2</v>
      </c>
      <c r="O275" s="87">
        <f t="shared" si="49"/>
        <v>8.3228935787478864E-2</v>
      </c>
    </row>
    <row r="276" spans="1:63" x14ac:dyDescent="0.3">
      <c r="B276" s="73" t="s">
        <v>44</v>
      </c>
      <c r="C276" s="73"/>
      <c r="D276" s="7" t="s">
        <v>24</v>
      </c>
      <c r="E276" s="73"/>
      <c r="F276" s="135">
        <v>0.25</v>
      </c>
      <c r="G276" s="81">
        <v>1</v>
      </c>
      <c r="H276" s="139">
        <f t="shared" si="50"/>
        <v>0.25</v>
      </c>
      <c r="I276" s="76"/>
      <c r="J276" s="135">
        <v>0.25</v>
      </c>
      <c r="K276" s="77">
        <v>1</v>
      </c>
      <c r="L276" s="139">
        <f t="shared" si="51"/>
        <v>0.25</v>
      </c>
      <c r="M276" s="76"/>
      <c r="N276" s="137">
        <f t="shared" si="40"/>
        <v>0</v>
      </c>
      <c r="O276" s="87">
        <f t="shared" si="49"/>
        <v>0</v>
      </c>
    </row>
    <row r="277" spans="1:63" x14ac:dyDescent="0.3">
      <c r="B277" s="73" t="s">
        <v>45</v>
      </c>
      <c r="C277" s="73"/>
      <c r="D277" s="7" t="s">
        <v>27</v>
      </c>
      <c r="E277" s="73"/>
      <c r="F277" s="135">
        <v>7.0000000000000001E-3</v>
      </c>
      <c r="G277" s="84">
        <f>F241</f>
        <v>500</v>
      </c>
      <c r="H277" s="139">
        <f t="shared" si="50"/>
        <v>3.5</v>
      </c>
      <c r="I277" s="76"/>
      <c r="J277" s="135">
        <v>7.0000000000000001E-3</v>
      </c>
      <c r="K277" s="77">
        <f>F241</f>
        <v>500</v>
      </c>
      <c r="L277" s="139">
        <f t="shared" si="51"/>
        <v>3.5</v>
      </c>
      <c r="M277" s="76"/>
      <c r="N277" s="137">
        <f t="shared" si="40"/>
        <v>0</v>
      </c>
      <c r="O277" s="87">
        <f t="shared" si="49"/>
        <v>0</v>
      </c>
    </row>
    <row r="278" spans="1:63" x14ac:dyDescent="0.3">
      <c r="B278" s="80" t="s">
        <v>46</v>
      </c>
      <c r="C278" s="73"/>
      <c r="D278" s="7" t="s">
        <v>27</v>
      </c>
      <c r="E278" s="73"/>
      <c r="F278" s="138">
        <v>6.7000000000000004E-2</v>
      </c>
      <c r="G278" s="27">
        <f>0.64*$F$241</f>
        <v>320</v>
      </c>
      <c r="H278" s="139">
        <f t="shared" si="50"/>
        <v>21.44</v>
      </c>
      <c r="I278" s="76"/>
      <c r="J278" s="138">
        <v>6.7000000000000004E-2</v>
      </c>
      <c r="K278" s="28">
        <f>G278</f>
        <v>320</v>
      </c>
      <c r="L278" s="139">
        <f t="shared" si="51"/>
        <v>21.44</v>
      </c>
      <c r="M278" s="76"/>
      <c r="N278" s="137">
        <f t="shared" si="40"/>
        <v>0</v>
      </c>
      <c r="O278" s="87">
        <f t="shared" si="49"/>
        <v>0</v>
      </c>
      <c r="S278" s="127"/>
    </row>
    <row r="279" spans="1:63" x14ac:dyDescent="0.3">
      <c r="B279" s="80" t="s">
        <v>47</v>
      </c>
      <c r="C279" s="73"/>
      <c r="D279" s="7" t="s">
        <v>27</v>
      </c>
      <c r="E279" s="73"/>
      <c r="F279" s="138">
        <v>0.104</v>
      </c>
      <c r="G279" s="27">
        <f>0.18*$F$241</f>
        <v>90</v>
      </c>
      <c r="H279" s="139">
        <f t="shared" si="50"/>
        <v>9.36</v>
      </c>
      <c r="I279" s="76"/>
      <c r="J279" s="138">
        <v>0.104</v>
      </c>
      <c r="K279" s="28">
        <f>G279</f>
        <v>90</v>
      </c>
      <c r="L279" s="139">
        <f t="shared" si="51"/>
        <v>9.36</v>
      </c>
      <c r="M279" s="76"/>
      <c r="N279" s="137">
        <f t="shared" si="40"/>
        <v>0</v>
      </c>
      <c r="O279" s="87">
        <f t="shared" si="49"/>
        <v>0</v>
      </c>
      <c r="S279" s="127"/>
    </row>
    <row r="280" spans="1:63" x14ac:dyDescent="0.3">
      <c r="B280" s="64" t="s">
        <v>48</v>
      </c>
      <c r="C280" s="73"/>
      <c r="D280" s="7" t="s">
        <v>27</v>
      </c>
      <c r="E280" s="73"/>
      <c r="F280" s="138">
        <v>0.124</v>
      </c>
      <c r="G280" s="27">
        <f>0.18*$F$241</f>
        <v>90</v>
      </c>
      <c r="H280" s="139">
        <f t="shared" si="50"/>
        <v>11.16</v>
      </c>
      <c r="I280" s="76"/>
      <c r="J280" s="138">
        <v>0.124</v>
      </c>
      <c r="K280" s="28">
        <f>G280</f>
        <v>90</v>
      </c>
      <c r="L280" s="139">
        <f t="shared" si="51"/>
        <v>11.16</v>
      </c>
      <c r="M280" s="76"/>
      <c r="N280" s="137">
        <f t="shared" si="40"/>
        <v>0</v>
      </c>
      <c r="O280" s="87">
        <f t="shared" si="49"/>
        <v>0</v>
      </c>
      <c r="S280" s="127"/>
    </row>
    <row r="281" spans="1:63" s="92" customFormat="1" x14ac:dyDescent="0.25">
      <c r="B281" s="89" t="s">
        <v>49</v>
      </c>
      <c r="C281" s="90"/>
      <c r="D281" s="29" t="s">
        <v>27</v>
      </c>
      <c r="E281" s="90"/>
      <c r="F281" s="138">
        <v>7.4999999999999997E-2</v>
      </c>
      <c r="G281" s="30">
        <f>IF(AND($T$1=1, F241&gt;=600), 600, IF(AND($T$1=1, AND(F241&lt;600, F241&gt;=0)), F241, IF(AND($T$1=2, F241&gt;=1000), 1000, IF(AND($T$1=2, AND(F241&lt;1000, F241&gt;=0)), F241))))</f>
        <v>500</v>
      </c>
      <c r="H281" s="139">
        <f t="shared" si="50"/>
        <v>37.5</v>
      </c>
      <c r="I281" s="91"/>
      <c r="J281" s="138">
        <v>7.4999999999999997E-2</v>
      </c>
      <c r="K281" s="31">
        <f>G281</f>
        <v>500</v>
      </c>
      <c r="L281" s="139">
        <f t="shared" si="51"/>
        <v>37.5</v>
      </c>
      <c r="M281" s="91"/>
      <c r="N281" s="140">
        <f t="shared" si="40"/>
        <v>0</v>
      </c>
      <c r="O281" s="87">
        <f t="shared" si="49"/>
        <v>0</v>
      </c>
      <c r="Q281" s="128"/>
      <c r="R281" s="128"/>
      <c r="S281" s="128"/>
      <c r="T281" s="128"/>
      <c r="U281" s="128"/>
      <c r="V281" s="128"/>
      <c r="W281" s="128"/>
      <c r="X281" s="128"/>
      <c r="Y281" s="128"/>
      <c r="Z281" s="128"/>
      <c r="AA281" s="128"/>
      <c r="AB281" s="128"/>
      <c r="AC281" s="128"/>
    </row>
    <row r="282" spans="1:63" s="92" customFormat="1" ht="15" thickBot="1" x14ac:dyDescent="0.3">
      <c r="B282" s="89" t="s">
        <v>50</v>
      </c>
      <c r="C282" s="90"/>
      <c r="D282" s="29" t="s">
        <v>27</v>
      </c>
      <c r="E282" s="90"/>
      <c r="F282" s="138">
        <v>8.7999999999999995E-2</v>
      </c>
      <c r="G282" s="30">
        <f>IF(AND($T$1=1, F241&gt;=600), F241-600, IF(AND($T$1=1, AND(F241&lt;600, F241&gt;=0)), 0, IF(AND($T$1=2, F241&gt;=1000), F241-1000, IF(AND($T$1=2, AND(F241&lt;1000, F241&gt;=0)), 0))))</f>
        <v>0</v>
      </c>
      <c r="H282" s="139">
        <f t="shared" si="50"/>
        <v>0</v>
      </c>
      <c r="I282" s="91"/>
      <c r="J282" s="138">
        <v>8.7999999999999995E-2</v>
      </c>
      <c r="K282" s="31">
        <f>G282</f>
        <v>0</v>
      </c>
      <c r="L282" s="139">
        <f t="shared" si="51"/>
        <v>0</v>
      </c>
      <c r="M282" s="91"/>
      <c r="N282" s="140">
        <f t="shared" si="40"/>
        <v>0</v>
      </c>
      <c r="O282" s="87" t="str">
        <f t="shared" si="49"/>
        <v/>
      </c>
      <c r="Q282" s="128"/>
      <c r="R282" s="128"/>
      <c r="S282" s="128"/>
      <c r="T282" s="128"/>
      <c r="U282" s="128"/>
      <c r="V282" s="128"/>
      <c r="W282" s="128"/>
      <c r="X282" s="128"/>
      <c r="Y282" s="128"/>
      <c r="Z282" s="128"/>
      <c r="AA282" s="128"/>
      <c r="AB282" s="128"/>
      <c r="AC282" s="128"/>
    </row>
    <row r="283" spans="1:63" s="4" customFormat="1" ht="15" thickBot="1" x14ac:dyDescent="0.35">
      <c r="A283" s="60"/>
      <c r="B283" s="32"/>
      <c r="C283" s="33"/>
      <c r="D283" s="124"/>
      <c r="E283" s="33"/>
      <c r="F283" s="35"/>
      <c r="G283" s="36"/>
      <c r="H283" s="122"/>
      <c r="I283" s="123"/>
      <c r="J283" s="35"/>
      <c r="K283" s="39"/>
      <c r="L283" s="122"/>
      <c r="M283" s="123"/>
      <c r="N283" s="40"/>
      <c r="O283" s="41"/>
      <c r="P283" s="60"/>
      <c r="Q283" s="126"/>
      <c r="R283" s="126"/>
      <c r="S283" s="126"/>
      <c r="T283" s="126"/>
      <c r="U283" s="126"/>
      <c r="V283" s="126"/>
      <c r="W283" s="126"/>
      <c r="X283" s="126"/>
      <c r="Y283" s="126"/>
      <c r="Z283" s="126"/>
      <c r="AA283" s="126"/>
      <c r="AB283" s="126"/>
      <c r="AC283" s="126"/>
      <c r="AD283" s="60"/>
      <c r="AE283" s="60"/>
      <c r="AF283" s="60"/>
      <c r="AG283" s="60"/>
      <c r="AH283" s="60"/>
      <c r="AI283" s="60"/>
      <c r="AJ283" s="60"/>
      <c r="AK283" s="60"/>
      <c r="AL283" s="60"/>
      <c r="AM283" s="60"/>
      <c r="AN283" s="60"/>
      <c r="AO283" s="60"/>
      <c r="AP283" s="60"/>
      <c r="AQ283" s="60"/>
      <c r="AR283" s="60"/>
      <c r="AS283" s="60"/>
      <c r="AT283" s="60"/>
      <c r="AU283" s="60"/>
      <c r="AV283" s="60"/>
      <c r="AW283" s="60"/>
      <c r="AX283" s="60"/>
      <c r="AY283" s="60"/>
      <c r="AZ283" s="60"/>
      <c r="BA283" s="60"/>
      <c r="BB283" s="60"/>
      <c r="BC283" s="60"/>
      <c r="BD283" s="60"/>
      <c r="BE283" s="60"/>
      <c r="BF283" s="60"/>
      <c r="BG283" s="60"/>
      <c r="BH283" s="60"/>
      <c r="BI283" s="60"/>
      <c r="BJ283" s="60"/>
      <c r="BK283" s="60"/>
    </row>
    <row r="284" spans="1:63" x14ac:dyDescent="0.3">
      <c r="B284" s="93" t="s">
        <v>51</v>
      </c>
      <c r="C284" s="73"/>
      <c r="D284" s="73"/>
      <c r="E284" s="73"/>
      <c r="F284" s="94"/>
      <c r="G284" s="95"/>
      <c r="H284" s="141">
        <f>SUM(H274:H280,H273)</f>
        <v>81.861927000000009</v>
      </c>
      <c r="I284" s="96"/>
      <c r="J284" s="97"/>
      <c r="K284" s="97"/>
      <c r="L284" s="144">
        <f>SUM(L274:L280,L273)</f>
        <v>80.823015999999996</v>
      </c>
      <c r="M284" s="145"/>
      <c r="N284" s="146">
        <f>L284-H284</f>
        <v>-1.038911000000013</v>
      </c>
      <c r="O284" s="98">
        <f>IF((H284)=0,"",(N284/H284))</f>
        <v>-1.2691015690358876E-2</v>
      </c>
      <c r="S284" s="127"/>
    </row>
    <row r="285" spans="1:63" x14ac:dyDescent="0.3">
      <c r="B285" s="99" t="s">
        <v>52</v>
      </c>
      <c r="C285" s="73"/>
      <c r="D285" s="73"/>
      <c r="E285" s="73"/>
      <c r="F285" s="100">
        <v>0.13</v>
      </c>
      <c r="G285" s="101"/>
      <c r="H285" s="142">
        <f>H284*F285</f>
        <v>10.642050510000001</v>
      </c>
      <c r="I285" s="102"/>
      <c r="J285" s="103">
        <v>0.13</v>
      </c>
      <c r="K285" s="102"/>
      <c r="L285" s="147">
        <f>L284*J285</f>
        <v>10.50699208</v>
      </c>
      <c r="M285" s="148"/>
      <c r="N285" s="149">
        <f>L285-H285</f>
        <v>-0.13505843000000084</v>
      </c>
      <c r="O285" s="104">
        <f>IF((H285)=0,"",(N285/H285))</f>
        <v>-1.2691015690358796E-2</v>
      </c>
      <c r="S285" s="127"/>
    </row>
    <row r="286" spans="1:63" x14ac:dyDescent="0.3">
      <c r="B286" s="105" t="s">
        <v>53</v>
      </c>
      <c r="C286" s="73"/>
      <c r="D286" s="73"/>
      <c r="E286" s="73"/>
      <c r="F286" s="106"/>
      <c r="G286" s="101"/>
      <c r="H286" s="142">
        <f>H284+H285</f>
        <v>92.503977510000013</v>
      </c>
      <c r="I286" s="102"/>
      <c r="J286" s="102"/>
      <c r="K286" s="102"/>
      <c r="L286" s="147">
        <f>L284+L285</f>
        <v>91.330008079999999</v>
      </c>
      <c r="M286" s="148"/>
      <c r="N286" s="149">
        <f>L286-H286</f>
        <v>-1.1739694300000139</v>
      </c>
      <c r="O286" s="104">
        <f>IF((H286)=0,"",(N286/H286))</f>
        <v>-1.2691015690358865E-2</v>
      </c>
      <c r="S286" s="127"/>
    </row>
    <row r="287" spans="1:63" ht="14.4" customHeight="1" x14ac:dyDescent="0.3">
      <c r="B287" s="172" t="s">
        <v>54</v>
      </c>
      <c r="C287" s="172"/>
      <c r="D287" s="172"/>
      <c r="E287" s="73"/>
      <c r="F287" s="106"/>
      <c r="G287" s="101"/>
      <c r="H287" s="143">
        <f>ROUND(-H286*10%,2)</f>
        <v>-9.25</v>
      </c>
      <c r="I287" s="102"/>
      <c r="J287" s="102"/>
      <c r="K287" s="102"/>
      <c r="L287" s="150">
        <f>ROUND(-L286*10%,2)</f>
        <v>-9.1300000000000008</v>
      </c>
      <c r="M287" s="148"/>
      <c r="N287" s="151">
        <f>L287-H287</f>
        <v>0.11999999999999922</v>
      </c>
      <c r="O287" s="107">
        <f>IF((H287)=0,"",(N287/H287))</f>
        <v>-1.2972972972972889E-2</v>
      </c>
    </row>
    <row r="288" spans="1:63" s="4" customFormat="1" ht="15" thickBot="1" x14ac:dyDescent="0.35">
      <c r="A288" s="60"/>
      <c r="B288" s="173" t="s">
        <v>55</v>
      </c>
      <c r="C288" s="173"/>
      <c r="D288" s="173"/>
      <c r="E288" s="42"/>
      <c r="F288" s="43"/>
      <c r="G288" s="44"/>
      <c r="H288" s="45">
        <f>H286+H287</f>
        <v>83.253977510000013</v>
      </c>
      <c r="I288" s="46"/>
      <c r="J288" s="46"/>
      <c r="K288" s="46"/>
      <c r="L288" s="47">
        <f>L286+L287</f>
        <v>82.200008080000003</v>
      </c>
      <c r="M288" s="48"/>
      <c r="N288" s="49">
        <f>L288-H288</f>
        <v>-1.0539694300000093</v>
      </c>
      <c r="O288" s="50">
        <f>IF((H288)=0,"",(N288/H288))</f>
        <v>-1.2659688600144206E-2</v>
      </c>
      <c r="P288" s="60"/>
      <c r="Q288" s="126"/>
      <c r="R288" s="126"/>
      <c r="S288" s="126"/>
      <c r="T288" s="126"/>
      <c r="U288" s="126"/>
      <c r="V288" s="126"/>
      <c r="W288" s="126"/>
      <c r="X288" s="126"/>
      <c r="Y288" s="126"/>
      <c r="Z288" s="126"/>
      <c r="AA288" s="126"/>
      <c r="AB288" s="126"/>
      <c r="AC288" s="126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/>
      <c r="BB288" s="60"/>
      <c r="BC288" s="60"/>
      <c r="BD288" s="60"/>
      <c r="BE288" s="60"/>
      <c r="BF288" s="60"/>
      <c r="BG288" s="60"/>
      <c r="BH288" s="60"/>
      <c r="BI288" s="60"/>
      <c r="BJ288" s="60"/>
      <c r="BK288" s="60"/>
    </row>
    <row r="289" spans="1:63" s="4" customFormat="1" ht="15" thickBot="1" x14ac:dyDescent="0.35">
      <c r="A289" s="60"/>
      <c r="B289" s="32"/>
      <c r="C289" s="33"/>
      <c r="D289" s="34"/>
      <c r="E289" s="33"/>
      <c r="F289" s="35"/>
      <c r="G289" s="36"/>
      <c r="H289" s="37"/>
      <c r="I289" s="38"/>
      <c r="J289" s="35"/>
      <c r="K289" s="39"/>
      <c r="L289" s="37"/>
      <c r="M289" s="123"/>
      <c r="N289" s="40"/>
      <c r="O289" s="41"/>
      <c r="P289" s="60"/>
      <c r="Q289" s="126"/>
      <c r="R289" s="126"/>
      <c r="S289" s="126"/>
      <c r="T289" s="126"/>
      <c r="U289" s="126"/>
      <c r="V289" s="126"/>
      <c r="W289" s="126"/>
      <c r="X289" s="126"/>
      <c r="Y289" s="126"/>
      <c r="Z289" s="126"/>
      <c r="AA289" s="126"/>
      <c r="AB289" s="126"/>
      <c r="AC289" s="126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  <c r="BC289" s="60"/>
      <c r="BD289" s="60"/>
      <c r="BE289" s="60"/>
      <c r="BF289" s="60"/>
      <c r="BG289" s="60"/>
      <c r="BH289" s="60"/>
      <c r="BI289" s="60"/>
      <c r="BJ289" s="60"/>
      <c r="BK289" s="60"/>
    </row>
    <row r="290" spans="1:63" s="92" customFormat="1" ht="13.2" x14ac:dyDescent="0.25">
      <c r="B290" s="108" t="s">
        <v>56</v>
      </c>
      <c r="C290" s="90"/>
      <c r="D290" s="90"/>
      <c r="E290" s="90"/>
      <c r="F290" s="109"/>
      <c r="G290" s="110"/>
      <c r="H290" s="152">
        <f>SUM(H281:H282,H273,H274:H277)</f>
        <v>77.401926999999986</v>
      </c>
      <c r="I290" s="111"/>
      <c r="J290" s="112"/>
      <c r="K290" s="112"/>
      <c r="L290" s="155">
        <f>SUM(L281:L282,L273,L274:L277)</f>
        <v>76.363016000000002</v>
      </c>
      <c r="M290" s="156"/>
      <c r="N290" s="157">
        <f>L290-H290</f>
        <v>-1.0389109999999846</v>
      </c>
      <c r="O290" s="98">
        <f>IF((H290)=0,"",(N290/H290))</f>
        <v>-1.3422288569120311E-2</v>
      </c>
      <c r="Q290" s="128"/>
      <c r="R290" s="128"/>
      <c r="S290" s="128"/>
      <c r="T290" s="128"/>
      <c r="U290" s="128"/>
      <c r="V290" s="128"/>
      <c r="W290" s="128"/>
      <c r="X290" s="128"/>
      <c r="Y290" s="128"/>
      <c r="Z290" s="128"/>
      <c r="AA290" s="128"/>
      <c r="AB290" s="128"/>
      <c r="AC290" s="128"/>
    </row>
    <row r="291" spans="1:63" s="92" customFormat="1" ht="13.2" x14ac:dyDescent="0.25">
      <c r="B291" s="113" t="s">
        <v>52</v>
      </c>
      <c r="C291" s="90"/>
      <c r="D291" s="90"/>
      <c r="E291" s="90"/>
      <c r="F291" s="114">
        <v>0.13</v>
      </c>
      <c r="G291" s="110"/>
      <c r="H291" s="153">
        <f>H290*F291</f>
        <v>10.062250509999998</v>
      </c>
      <c r="I291" s="115"/>
      <c r="J291" s="116">
        <v>0.13</v>
      </c>
      <c r="K291" s="117"/>
      <c r="L291" s="158">
        <f>L290*J291</f>
        <v>9.9271920800000011</v>
      </c>
      <c r="M291" s="159"/>
      <c r="N291" s="160">
        <f>L291-H291</f>
        <v>-0.13505842999999729</v>
      </c>
      <c r="O291" s="104">
        <f>IF((H291)=0,"",(N291/H291))</f>
        <v>-1.342228856912024E-2</v>
      </c>
      <c r="Q291" s="128"/>
      <c r="R291" s="128"/>
      <c r="S291" s="128"/>
      <c r="T291" s="128"/>
      <c r="U291" s="128"/>
      <c r="V291" s="128"/>
      <c r="W291" s="128"/>
      <c r="X291" s="128"/>
      <c r="Y291" s="128"/>
      <c r="Z291" s="128"/>
      <c r="AA291" s="128"/>
      <c r="AB291" s="128"/>
      <c r="AC291" s="128"/>
    </row>
    <row r="292" spans="1:63" s="92" customFormat="1" ht="13.2" x14ac:dyDescent="0.25">
      <c r="B292" s="118" t="s">
        <v>53</v>
      </c>
      <c r="C292" s="90"/>
      <c r="D292" s="90"/>
      <c r="E292" s="90"/>
      <c r="F292" s="119"/>
      <c r="G292" s="120"/>
      <c r="H292" s="153">
        <f>H290+H291</f>
        <v>87.464177509999985</v>
      </c>
      <c r="I292" s="115"/>
      <c r="J292" s="115"/>
      <c r="K292" s="115"/>
      <c r="L292" s="158">
        <f>L290+L291</f>
        <v>86.290208079999999</v>
      </c>
      <c r="M292" s="159"/>
      <c r="N292" s="160">
        <f>L292-H292</f>
        <v>-1.1739694299999854</v>
      </c>
      <c r="O292" s="104">
        <f>IF((H292)=0,"",(N292/H292))</f>
        <v>-1.3422288569120344E-2</v>
      </c>
      <c r="Q292" s="128"/>
      <c r="R292" s="128"/>
      <c r="S292" s="128"/>
      <c r="T292" s="128"/>
      <c r="U292" s="128"/>
      <c r="V292" s="128"/>
      <c r="W292" s="128"/>
      <c r="X292" s="128"/>
      <c r="Y292" s="128"/>
      <c r="Z292" s="128"/>
      <c r="AA292" s="128"/>
      <c r="AB292" s="128"/>
      <c r="AC292" s="128"/>
    </row>
    <row r="293" spans="1:63" s="92" customFormat="1" ht="13.2" customHeight="1" x14ac:dyDescent="0.25">
      <c r="B293" s="174" t="s">
        <v>54</v>
      </c>
      <c r="C293" s="174"/>
      <c r="D293" s="174"/>
      <c r="E293" s="90"/>
      <c r="F293" s="119"/>
      <c r="G293" s="120"/>
      <c r="H293" s="154">
        <f>ROUND(-H292*10%,2)</f>
        <v>-8.75</v>
      </c>
      <c r="I293" s="115"/>
      <c r="J293" s="115"/>
      <c r="K293" s="115"/>
      <c r="L293" s="161">
        <f>ROUND(-L292*10%,2)</f>
        <v>-8.6300000000000008</v>
      </c>
      <c r="M293" s="159"/>
      <c r="N293" s="162">
        <f>L293-H293</f>
        <v>0.11999999999999922</v>
      </c>
      <c r="O293" s="107">
        <f>IF((H293)=0,"",(N293/H293))</f>
        <v>-1.3714285714285625E-2</v>
      </c>
      <c r="Q293" s="128"/>
      <c r="R293" s="128"/>
      <c r="S293" s="128"/>
      <c r="T293" s="128"/>
      <c r="U293" s="128"/>
      <c r="V293" s="128"/>
      <c r="W293" s="128"/>
      <c r="X293" s="128"/>
      <c r="Y293" s="128"/>
      <c r="Z293" s="128"/>
      <c r="AA293" s="128"/>
      <c r="AB293" s="128"/>
      <c r="AC293" s="128"/>
    </row>
    <row r="294" spans="1:63" s="4" customFormat="1" ht="15" thickBot="1" x14ac:dyDescent="0.35">
      <c r="A294" s="60"/>
      <c r="B294" s="173" t="s">
        <v>57</v>
      </c>
      <c r="C294" s="173"/>
      <c r="D294" s="173"/>
      <c r="E294" s="42"/>
      <c r="F294" s="43"/>
      <c r="G294" s="44"/>
      <c r="H294" s="45">
        <f>SUM(H292:H293)</f>
        <v>78.714177509999985</v>
      </c>
      <c r="I294" s="46"/>
      <c r="J294" s="46"/>
      <c r="K294" s="46"/>
      <c r="L294" s="47">
        <f>SUM(L292:L293)</f>
        <v>77.660208080000004</v>
      </c>
      <c r="M294" s="48"/>
      <c r="N294" s="49">
        <f>L294-H294</f>
        <v>-1.0539694299999809</v>
      </c>
      <c r="O294" s="50">
        <f>IF((H294)=0,"",(N294/H294))</f>
        <v>-1.33898296766943E-2</v>
      </c>
      <c r="P294" s="60"/>
      <c r="Q294" s="126"/>
      <c r="R294" s="126"/>
      <c r="S294" s="126"/>
      <c r="T294" s="126"/>
      <c r="U294" s="126"/>
      <c r="V294" s="126"/>
      <c r="W294" s="126"/>
      <c r="X294" s="126"/>
      <c r="Y294" s="126"/>
      <c r="Z294" s="126"/>
      <c r="AA294" s="126"/>
      <c r="AB294" s="126"/>
      <c r="AC294" s="126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/>
      <c r="BB294" s="60"/>
      <c r="BC294" s="60"/>
      <c r="BD294" s="60"/>
      <c r="BE294" s="60"/>
      <c r="BF294" s="60"/>
      <c r="BG294" s="60"/>
      <c r="BH294" s="60"/>
      <c r="BI294" s="60"/>
      <c r="BJ294" s="60"/>
      <c r="BK294" s="60"/>
    </row>
    <row r="295" spans="1:63" s="4" customFormat="1" ht="15" thickBot="1" x14ac:dyDescent="0.35">
      <c r="A295" s="60"/>
      <c r="B295" s="32"/>
      <c r="C295" s="33"/>
      <c r="D295" s="34"/>
      <c r="E295" s="33"/>
      <c r="F295" s="35"/>
      <c r="G295" s="36"/>
      <c r="H295" s="122"/>
      <c r="I295" s="123"/>
      <c r="J295" s="35"/>
      <c r="K295" s="39"/>
      <c r="L295" s="37"/>
      <c r="M295" s="123"/>
      <c r="N295" s="40"/>
      <c r="O295" s="41"/>
      <c r="P295" s="60"/>
      <c r="Q295" s="126"/>
      <c r="R295" s="126"/>
      <c r="S295" s="126"/>
      <c r="T295" s="126"/>
      <c r="U295" s="126"/>
      <c r="V295" s="126"/>
      <c r="W295" s="126"/>
      <c r="X295" s="126"/>
      <c r="Y295" s="126"/>
      <c r="Z295" s="126"/>
      <c r="AA295" s="126"/>
      <c r="AB295" s="126"/>
      <c r="AC295" s="126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</row>
    <row r="296" spans="1:63" x14ac:dyDescent="0.3">
      <c r="L296" s="88"/>
    </row>
    <row r="297" spans="1:63" x14ac:dyDescent="0.3">
      <c r="B297" s="65" t="s">
        <v>58</v>
      </c>
      <c r="F297" s="51">
        <v>3.7699999999999997E-2</v>
      </c>
      <c r="J297" s="51">
        <f>+$J$74</f>
        <v>3.7600000000000001E-2</v>
      </c>
    </row>
    <row r="299" spans="1:63" x14ac:dyDescent="0.3">
      <c r="L299" s="56"/>
      <c r="M299" s="56"/>
      <c r="N299" s="56"/>
      <c r="O299" s="56"/>
      <c r="P299" s="56"/>
    </row>
    <row r="300" spans="1:63" ht="16.2" x14ac:dyDescent="0.3">
      <c r="A300" s="121" t="s">
        <v>59</v>
      </c>
    </row>
    <row r="302" spans="1:63" x14ac:dyDescent="0.3">
      <c r="A302" s="60" t="s">
        <v>60</v>
      </c>
    </row>
    <row r="303" spans="1:63" x14ac:dyDescent="0.3">
      <c r="A303" s="60" t="s">
        <v>61</v>
      </c>
    </row>
    <row r="305" spans="2:29" x14ac:dyDescent="0.3">
      <c r="B305" s="60" t="s">
        <v>62</v>
      </c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</row>
    <row r="306" spans="2:29" x14ac:dyDescent="0.3"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</row>
    <row r="307" spans="2:29" ht="18.75" customHeight="1" x14ac:dyDescent="0.3">
      <c r="B307" s="175" t="s">
        <v>6</v>
      </c>
      <c r="C307" s="175"/>
      <c r="D307" s="175"/>
      <c r="E307" s="175"/>
      <c r="F307" s="175"/>
      <c r="G307" s="175"/>
      <c r="H307" s="175"/>
      <c r="I307" s="175"/>
      <c r="J307" s="175"/>
      <c r="K307" s="175"/>
      <c r="L307" s="175"/>
      <c r="M307" s="175"/>
      <c r="N307" s="175"/>
      <c r="O307" s="175"/>
      <c r="P307" s="56"/>
    </row>
    <row r="308" spans="2:29" ht="18.75" customHeight="1" x14ac:dyDescent="0.3">
      <c r="B308" s="175" t="s">
        <v>7</v>
      </c>
      <c r="C308" s="175"/>
      <c r="D308" s="175"/>
      <c r="E308" s="175"/>
      <c r="F308" s="175"/>
      <c r="G308" s="175"/>
      <c r="H308" s="175"/>
      <c r="I308" s="175"/>
      <c r="J308" s="175"/>
      <c r="K308" s="175"/>
      <c r="L308" s="175"/>
      <c r="M308" s="175"/>
      <c r="N308" s="175"/>
      <c r="O308" s="175"/>
      <c r="P308" s="56"/>
    </row>
    <row r="309" spans="2:29" ht="7.5" customHeight="1" x14ac:dyDescent="0.3">
      <c r="L309" s="56"/>
      <c r="M309" s="56"/>
      <c r="N309" s="56"/>
      <c r="O309" s="56"/>
      <c r="P309" s="56"/>
    </row>
    <row r="310" spans="2:29" ht="7.5" customHeight="1" x14ac:dyDescent="0.3">
      <c r="L310" s="56"/>
      <c r="M310" s="56"/>
      <c r="N310" s="56"/>
      <c r="O310" s="56"/>
      <c r="P310" s="56"/>
    </row>
    <row r="311" spans="2:29" ht="15.6" x14ac:dyDescent="0.3">
      <c r="B311" s="61" t="s">
        <v>8</v>
      </c>
      <c r="D311" s="185" t="s">
        <v>66</v>
      </c>
      <c r="E311" s="185"/>
      <c r="F311" s="185"/>
      <c r="G311" s="185"/>
      <c r="H311" s="185"/>
      <c r="I311" s="185"/>
      <c r="J311" s="185"/>
      <c r="K311" s="185"/>
      <c r="L311" s="185"/>
      <c r="M311" s="185"/>
      <c r="N311" s="185"/>
      <c r="O311" s="185"/>
    </row>
    <row r="312" spans="2:29" ht="7.5" customHeight="1" x14ac:dyDescent="0.3">
      <c r="B312" s="62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</row>
    <row r="313" spans="2:29" ht="15.6" x14ac:dyDescent="0.3">
      <c r="B313" s="61" t="s">
        <v>9</v>
      </c>
      <c r="D313" s="5" t="s">
        <v>10</v>
      </c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</row>
    <row r="314" spans="2:29" ht="15.6" x14ac:dyDescent="0.3">
      <c r="B314" s="62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</row>
    <row r="315" spans="2:29" x14ac:dyDescent="0.3">
      <c r="B315" s="64"/>
      <c r="D315" s="65" t="s">
        <v>11</v>
      </c>
      <c r="E315" s="65"/>
      <c r="F315" s="6">
        <v>1000</v>
      </c>
      <c r="G315" s="65" t="s">
        <v>12</v>
      </c>
    </row>
    <row r="316" spans="2:29" x14ac:dyDescent="0.3">
      <c r="B316" s="64"/>
      <c r="G316" s="65"/>
    </row>
    <row r="317" spans="2:29" x14ac:dyDescent="0.3">
      <c r="B317" s="64"/>
      <c r="D317" s="66"/>
      <c r="E317" s="66"/>
      <c r="F317" s="176" t="s">
        <v>13</v>
      </c>
      <c r="G317" s="177"/>
      <c r="H317" s="178"/>
      <c r="J317" s="176" t="s">
        <v>14</v>
      </c>
      <c r="K317" s="177"/>
      <c r="L317" s="178"/>
      <c r="N317" s="176" t="s">
        <v>15</v>
      </c>
      <c r="O317" s="178"/>
    </row>
    <row r="318" spans="2:29" x14ac:dyDescent="0.3">
      <c r="B318" s="64"/>
      <c r="D318" s="179" t="s">
        <v>16</v>
      </c>
      <c r="E318" s="67"/>
      <c r="F318" s="68" t="s">
        <v>17</v>
      </c>
      <c r="G318" s="68" t="s">
        <v>18</v>
      </c>
      <c r="H318" s="69" t="s">
        <v>19</v>
      </c>
      <c r="J318" s="68" t="s">
        <v>17</v>
      </c>
      <c r="K318" s="70" t="s">
        <v>18</v>
      </c>
      <c r="L318" s="69" t="s">
        <v>19</v>
      </c>
      <c r="N318" s="181" t="s">
        <v>20</v>
      </c>
      <c r="O318" s="183" t="s">
        <v>21</v>
      </c>
    </row>
    <row r="319" spans="2:29" x14ac:dyDescent="0.3">
      <c r="B319" s="64"/>
      <c r="D319" s="180"/>
      <c r="E319" s="67"/>
      <c r="F319" s="71" t="s">
        <v>22</v>
      </c>
      <c r="G319" s="71"/>
      <c r="H319" s="72" t="s">
        <v>22</v>
      </c>
      <c r="J319" s="71" t="s">
        <v>22</v>
      </c>
      <c r="K319" s="72"/>
      <c r="L319" s="72" t="s">
        <v>22</v>
      </c>
      <c r="N319" s="182"/>
      <c r="O319" s="184"/>
    </row>
    <row r="320" spans="2:29" x14ac:dyDescent="0.3">
      <c r="B320" s="73" t="s">
        <v>23</v>
      </c>
      <c r="C320" s="73"/>
      <c r="D320" s="7" t="s">
        <v>24</v>
      </c>
      <c r="E320" s="73"/>
      <c r="F320" s="129">
        <v>13.11</v>
      </c>
      <c r="G320" s="74">
        <v>1</v>
      </c>
      <c r="H320" s="75">
        <f t="shared" ref="H320:H335" si="52">G320*F320</f>
        <v>13.11</v>
      </c>
      <c r="I320" s="76"/>
      <c r="J320" s="129">
        <v>14.42</v>
      </c>
      <c r="K320" s="77">
        <v>1</v>
      </c>
      <c r="L320" s="75">
        <f t="shared" ref="L320:L335" si="53">K320*J320</f>
        <v>14.42</v>
      </c>
      <c r="M320" s="76"/>
      <c r="N320" s="78">
        <f t="shared" ref="N320:N356" si="54">L320-H320</f>
        <v>1.3100000000000005</v>
      </c>
      <c r="O320" s="79">
        <f t="shared" ref="O320:O342" si="55">IF((H320)=0,"",(N320/H320))</f>
        <v>9.9923722349351679E-2</v>
      </c>
    </row>
    <row r="321" spans="1:63" x14ac:dyDescent="0.3">
      <c r="B321" s="73" t="s">
        <v>25</v>
      </c>
      <c r="C321" s="73"/>
      <c r="D321" s="7" t="s">
        <v>24</v>
      </c>
      <c r="E321" s="73"/>
      <c r="F321" s="133">
        <v>2.4900000000000002</v>
      </c>
      <c r="G321" s="74">
        <v>1</v>
      </c>
      <c r="H321" s="136">
        <f t="shared" si="52"/>
        <v>2.4900000000000002</v>
      </c>
      <c r="I321" s="76"/>
      <c r="J321" s="130"/>
      <c r="K321" s="77">
        <v>1</v>
      </c>
      <c r="L321" s="136">
        <f t="shared" si="53"/>
        <v>0</v>
      </c>
      <c r="M321" s="76"/>
      <c r="N321" s="137">
        <f t="shared" si="54"/>
        <v>-2.4900000000000002</v>
      </c>
      <c r="O321" s="79">
        <f t="shared" si="55"/>
        <v>-1</v>
      </c>
    </row>
    <row r="322" spans="1:63" x14ac:dyDescent="0.3">
      <c r="B322" s="9"/>
      <c r="C322" s="73"/>
      <c r="D322" s="7"/>
      <c r="E322" s="73"/>
      <c r="F322" s="134"/>
      <c r="G322" s="74">
        <v>1</v>
      </c>
      <c r="H322" s="136">
        <f t="shared" si="52"/>
        <v>0</v>
      </c>
      <c r="I322" s="76"/>
      <c r="J322" s="131"/>
      <c r="K322" s="77">
        <v>1</v>
      </c>
      <c r="L322" s="136">
        <f t="shared" si="53"/>
        <v>0</v>
      </c>
      <c r="M322" s="76"/>
      <c r="N322" s="137">
        <f t="shared" si="54"/>
        <v>0</v>
      </c>
      <c r="O322" s="79" t="str">
        <f t="shared" si="55"/>
        <v/>
      </c>
    </row>
    <row r="323" spans="1:63" x14ac:dyDescent="0.3">
      <c r="B323" s="9"/>
      <c r="C323" s="73"/>
      <c r="D323" s="7"/>
      <c r="E323" s="73"/>
      <c r="F323" s="134"/>
      <c r="G323" s="74">
        <v>1</v>
      </c>
      <c r="H323" s="136">
        <f t="shared" si="52"/>
        <v>0</v>
      </c>
      <c r="I323" s="76"/>
      <c r="J323" s="131"/>
      <c r="K323" s="77">
        <v>1</v>
      </c>
      <c r="L323" s="136">
        <f t="shared" si="53"/>
        <v>0</v>
      </c>
      <c r="M323" s="76"/>
      <c r="N323" s="137">
        <f t="shared" si="54"/>
        <v>0</v>
      </c>
      <c r="O323" s="79" t="str">
        <f t="shared" si="55"/>
        <v/>
      </c>
    </row>
    <row r="324" spans="1:63" x14ac:dyDescent="0.3">
      <c r="B324" s="10"/>
      <c r="C324" s="73"/>
      <c r="D324" s="7"/>
      <c r="E324" s="73"/>
      <c r="F324" s="134"/>
      <c r="G324" s="74">
        <v>1</v>
      </c>
      <c r="H324" s="136">
        <f t="shared" si="52"/>
        <v>0</v>
      </c>
      <c r="I324" s="76"/>
      <c r="J324" s="131"/>
      <c r="K324" s="77">
        <v>1</v>
      </c>
      <c r="L324" s="136">
        <f t="shared" si="53"/>
        <v>0</v>
      </c>
      <c r="M324" s="76"/>
      <c r="N324" s="137">
        <f t="shared" si="54"/>
        <v>0</v>
      </c>
      <c r="O324" s="79" t="str">
        <f t="shared" si="55"/>
        <v/>
      </c>
    </row>
    <row r="325" spans="1:63" x14ac:dyDescent="0.3">
      <c r="B325" s="10"/>
      <c r="C325" s="73"/>
      <c r="D325" s="7"/>
      <c r="E325" s="73"/>
      <c r="F325" s="134"/>
      <c r="G325" s="74">
        <v>1</v>
      </c>
      <c r="H325" s="136">
        <f t="shared" si="52"/>
        <v>0</v>
      </c>
      <c r="I325" s="76"/>
      <c r="J325" s="131"/>
      <c r="K325" s="77">
        <v>1</v>
      </c>
      <c r="L325" s="136">
        <f t="shared" si="53"/>
        <v>0</v>
      </c>
      <c r="M325" s="76"/>
      <c r="N325" s="137">
        <f t="shared" si="54"/>
        <v>0</v>
      </c>
      <c r="O325" s="79" t="str">
        <f t="shared" si="55"/>
        <v/>
      </c>
    </row>
    <row r="326" spans="1:63" x14ac:dyDescent="0.3">
      <c r="B326" s="73" t="s">
        <v>26</v>
      </c>
      <c r="C326" s="73"/>
      <c r="D326" s="7" t="s">
        <v>27</v>
      </c>
      <c r="E326" s="73"/>
      <c r="F326" s="135">
        <v>1.43E-2</v>
      </c>
      <c r="G326" s="74">
        <f>$F$315</f>
        <v>1000</v>
      </c>
      <c r="H326" s="136">
        <f t="shared" si="52"/>
        <v>14.3</v>
      </c>
      <c r="I326" s="76"/>
      <c r="J326" s="132">
        <v>1.5699999999999999E-2</v>
      </c>
      <c r="K326" s="74">
        <f>$F$315</f>
        <v>1000</v>
      </c>
      <c r="L326" s="136">
        <f t="shared" si="53"/>
        <v>15.7</v>
      </c>
      <c r="M326" s="76"/>
      <c r="N326" s="137">
        <f t="shared" si="54"/>
        <v>1.3999999999999986</v>
      </c>
      <c r="O326" s="79">
        <f t="shared" si="55"/>
        <v>9.7902097902097793E-2</v>
      </c>
    </row>
    <row r="327" spans="1:63" x14ac:dyDescent="0.3">
      <c r="B327" s="73" t="s">
        <v>28</v>
      </c>
      <c r="C327" s="73"/>
      <c r="D327" s="7" t="s">
        <v>24</v>
      </c>
      <c r="E327" s="73"/>
      <c r="F327" s="135">
        <v>-0.03</v>
      </c>
      <c r="G327" s="74">
        <v>1</v>
      </c>
      <c r="H327" s="136">
        <f t="shared" si="52"/>
        <v>-0.03</v>
      </c>
      <c r="I327" s="76"/>
      <c r="J327" s="132"/>
      <c r="K327" s="74">
        <v>1</v>
      </c>
      <c r="L327" s="136">
        <f t="shared" si="53"/>
        <v>0</v>
      </c>
      <c r="M327" s="76"/>
      <c r="N327" s="137">
        <f t="shared" si="54"/>
        <v>0.03</v>
      </c>
      <c r="O327" s="79">
        <f t="shared" si="55"/>
        <v>-1</v>
      </c>
    </row>
    <row r="328" spans="1:63" x14ac:dyDescent="0.3">
      <c r="B328" s="73" t="s">
        <v>29</v>
      </c>
      <c r="C328" s="73"/>
      <c r="D328" s="7" t="s">
        <v>27</v>
      </c>
      <c r="E328" s="73"/>
      <c r="F328" s="135">
        <v>2.9999999999999997E-4</v>
      </c>
      <c r="G328" s="74">
        <f t="shared" ref="G328:G330" si="56">$F$315</f>
        <v>1000</v>
      </c>
      <c r="H328" s="136">
        <f t="shared" si="52"/>
        <v>0.3</v>
      </c>
      <c r="I328" s="76"/>
      <c r="J328" s="171">
        <v>0</v>
      </c>
      <c r="K328" s="74">
        <f t="shared" ref="K328:K330" si="57">$F$315</f>
        <v>1000</v>
      </c>
      <c r="L328" s="136">
        <f t="shared" si="53"/>
        <v>0</v>
      </c>
      <c r="M328" s="76"/>
      <c r="N328" s="137">
        <f t="shared" si="54"/>
        <v>-0.3</v>
      </c>
      <c r="O328" s="79">
        <f t="shared" si="55"/>
        <v>-1</v>
      </c>
    </row>
    <row r="329" spans="1:63" x14ac:dyDescent="0.3">
      <c r="B329" s="11" t="s">
        <v>30</v>
      </c>
      <c r="C329" s="73"/>
      <c r="D329" s="7" t="s">
        <v>27</v>
      </c>
      <c r="E329" s="73"/>
      <c r="F329" s="135">
        <v>1.8E-3</v>
      </c>
      <c r="G329" s="74">
        <f t="shared" si="56"/>
        <v>1000</v>
      </c>
      <c r="H329" s="136">
        <f t="shared" si="52"/>
        <v>1.8</v>
      </c>
      <c r="I329" s="76"/>
      <c r="J329" s="132"/>
      <c r="K329" s="74">
        <f t="shared" si="57"/>
        <v>1000</v>
      </c>
      <c r="L329" s="136">
        <f t="shared" si="53"/>
        <v>0</v>
      </c>
      <c r="M329" s="76"/>
      <c r="N329" s="137">
        <f t="shared" si="54"/>
        <v>-1.8</v>
      </c>
      <c r="O329" s="79">
        <f t="shared" si="55"/>
        <v>-1</v>
      </c>
    </row>
    <row r="330" spans="1:63" x14ac:dyDescent="0.3">
      <c r="B330" s="11" t="s">
        <v>31</v>
      </c>
      <c r="C330" s="73"/>
      <c r="D330" s="7" t="s">
        <v>27</v>
      </c>
      <c r="E330" s="73"/>
      <c r="F330" s="135">
        <v>-2.9999999999999997E-4</v>
      </c>
      <c r="G330" s="74">
        <f t="shared" si="56"/>
        <v>1000</v>
      </c>
      <c r="H330" s="136">
        <f t="shared" si="52"/>
        <v>-0.3</v>
      </c>
      <c r="I330" s="76"/>
      <c r="J330" s="132"/>
      <c r="K330" s="74">
        <f t="shared" si="57"/>
        <v>1000</v>
      </c>
      <c r="L330" s="136">
        <f t="shared" si="53"/>
        <v>0</v>
      </c>
      <c r="M330" s="76"/>
      <c r="N330" s="137">
        <f t="shared" si="54"/>
        <v>0.3</v>
      </c>
      <c r="O330" s="79">
        <f t="shared" si="55"/>
        <v>-1</v>
      </c>
    </row>
    <row r="331" spans="1:63" x14ac:dyDescent="0.3">
      <c r="B331" s="11" t="s">
        <v>32</v>
      </c>
      <c r="C331" s="73"/>
      <c r="D331" s="7" t="s">
        <v>24</v>
      </c>
      <c r="E331" s="73"/>
      <c r="F331" s="135">
        <v>0</v>
      </c>
      <c r="G331" s="74">
        <v>1</v>
      </c>
      <c r="H331" s="136">
        <f t="shared" si="52"/>
        <v>0</v>
      </c>
      <c r="I331" s="76"/>
      <c r="J331" s="132">
        <v>0.77</v>
      </c>
      <c r="K331" s="74">
        <v>1</v>
      </c>
      <c r="L331" s="136">
        <f t="shared" si="53"/>
        <v>0.77</v>
      </c>
      <c r="M331" s="76"/>
      <c r="N331" s="137">
        <f t="shared" si="54"/>
        <v>0.77</v>
      </c>
      <c r="O331" s="79" t="str">
        <f t="shared" si="55"/>
        <v/>
      </c>
    </row>
    <row r="332" spans="1:63" x14ac:dyDescent="0.3">
      <c r="B332" s="12" t="str">
        <f>+$B$35</f>
        <v>Rate Rider for Disposition of Account 1576</v>
      </c>
      <c r="C332" s="73"/>
      <c r="D332" s="7" t="s">
        <v>27</v>
      </c>
      <c r="E332" s="73"/>
      <c r="F332" s="134"/>
      <c r="G332" s="74">
        <f t="shared" ref="G332:G335" si="58">$F$315</f>
        <v>1000</v>
      </c>
      <c r="H332" s="136">
        <f t="shared" si="52"/>
        <v>0</v>
      </c>
      <c r="I332" s="76"/>
      <c r="J332" s="132">
        <v>-5.9999999999999995E-4</v>
      </c>
      <c r="K332" s="74">
        <f t="shared" ref="K332:K335" si="59">$F$315</f>
        <v>1000</v>
      </c>
      <c r="L332" s="136">
        <f t="shared" si="53"/>
        <v>-0.6</v>
      </c>
      <c r="M332" s="76"/>
      <c r="N332" s="137">
        <f t="shared" si="54"/>
        <v>-0.6</v>
      </c>
      <c r="O332" s="79" t="str">
        <f t="shared" si="55"/>
        <v/>
      </c>
    </row>
    <row r="333" spans="1:63" x14ac:dyDescent="0.3">
      <c r="B333" s="12" t="str">
        <f>+$B$36</f>
        <v xml:space="preserve">Rate Rider for Disposition of CGAAP CWIP differential </v>
      </c>
      <c r="C333" s="73"/>
      <c r="D333" s="7" t="s">
        <v>27</v>
      </c>
      <c r="E333" s="73"/>
      <c r="F333" s="134"/>
      <c r="G333" s="74">
        <f t="shared" si="58"/>
        <v>1000</v>
      </c>
      <c r="H333" s="136">
        <f t="shared" si="52"/>
        <v>0</v>
      </c>
      <c r="I333" s="76"/>
      <c r="J333" s="132">
        <v>2.9999999999999997E-4</v>
      </c>
      <c r="K333" s="74">
        <f t="shared" si="59"/>
        <v>1000</v>
      </c>
      <c r="L333" s="136">
        <f t="shared" si="53"/>
        <v>0.3</v>
      </c>
      <c r="M333" s="76"/>
      <c r="N333" s="137">
        <f t="shared" si="54"/>
        <v>0.3</v>
      </c>
      <c r="O333" s="79" t="str">
        <f t="shared" si="55"/>
        <v/>
      </c>
    </row>
    <row r="334" spans="1:63" x14ac:dyDescent="0.3">
      <c r="B334" s="12" t="str">
        <f>+$B$37</f>
        <v xml:space="preserve">Rate Rider for Disposition of Incremental Capital Expenditures </v>
      </c>
      <c r="C334" s="73"/>
      <c r="D334" s="7" t="s">
        <v>27</v>
      </c>
      <c r="E334" s="73"/>
      <c r="F334" s="131"/>
      <c r="G334" s="74">
        <f t="shared" si="58"/>
        <v>1000</v>
      </c>
      <c r="H334" s="136">
        <f t="shared" si="52"/>
        <v>0</v>
      </c>
      <c r="I334" s="76"/>
      <c r="J334" s="132">
        <v>2.0000000000000001E-4</v>
      </c>
      <c r="K334" s="74">
        <f t="shared" si="59"/>
        <v>1000</v>
      </c>
      <c r="L334" s="136">
        <f t="shared" si="53"/>
        <v>0.2</v>
      </c>
      <c r="M334" s="76"/>
      <c r="N334" s="137">
        <f t="shared" si="54"/>
        <v>0.2</v>
      </c>
      <c r="O334" s="79" t="str">
        <f t="shared" si="55"/>
        <v/>
      </c>
    </row>
    <row r="335" spans="1:63" x14ac:dyDescent="0.3">
      <c r="B335" s="12"/>
      <c r="C335" s="73"/>
      <c r="D335" s="7"/>
      <c r="E335" s="73"/>
      <c r="F335" s="131"/>
      <c r="G335" s="74">
        <f t="shared" si="58"/>
        <v>1000</v>
      </c>
      <c r="H335" s="136">
        <f t="shared" si="52"/>
        <v>0</v>
      </c>
      <c r="I335" s="76"/>
      <c r="J335" s="131"/>
      <c r="K335" s="74">
        <f t="shared" si="59"/>
        <v>1000</v>
      </c>
      <c r="L335" s="136">
        <f t="shared" si="53"/>
        <v>0</v>
      </c>
      <c r="M335" s="76"/>
      <c r="N335" s="137">
        <f t="shared" si="54"/>
        <v>0</v>
      </c>
      <c r="O335" s="79" t="str">
        <f t="shared" si="55"/>
        <v/>
      </c>
    </row>
    <row r="336" spans="1:63" s="4" customFormat="1" x14ac:dyDescent="0.3">
      <c r="A336" s="60"/>
      <c r="B336" s="19" t="s">
        <v>33</v>
      </c>
      <c r="C336" s="20"/>
      <c r="D336" s="20"/>
      <c r="E336" s="20"/>
      <c r="F336" s="21"/>
      <c r="G336" s="22"/>
      <c r="H336" s="23">
        <f>SUM(H320:H335)</f>
        <v>31.669999999999998</v>
      </c>
      <c r="I336" s="13"/>
      <c r="J336" s="14"/>
      <c r="K336" s="24"/>
      <c r="L336" s="23">
        <f>SUM(L320:L335)</f>
        <v>30.789999999999996</v>
      </c>
      <c r="M336" s="13"/>
      <c r="N336" s="15">
        <f t="shared" si="54"/>
        <v>-0.88000000000000256</v>
      </c>
      <c r="O336" s="16">
        <f t="shared" si="55"/>
        <v>-2.7786548784338574E-2</v>
      </c>
      <c r="P336" s="60"/>
      <c r="Q336" s="126"/>
      <c r="R336" s="126"/>
      <c r="S336" s="126"/>
      <c r="T336" s="126"/>
      <c r="U336" s="126"/>
      <c r="V336" s="126"/>
      <c r="W336" s="126"/>
      <c r="X336" s="126"/>
      <c r="Y336" s="126"/>
      <c r="Z336" s="126"/>
      <c r="AA336" s="126"/>
      <c r="AB336" s="126"/>
      <c r="AC336" s="126"/>
      <c r="AD336" s="60"/>
      <c r="AE336" s="60"/>
      <c r="AF336" s="60"/>
      <c r="AG336" s="60"/>
      <c r="AH336" s="60"/>
      <c r="AI336" s="60"/>
      <c r="AJ336" s="60"/>
      <c r="AK336" s="60"/>
      <c r="AL336" s="60"/>
      <c r="AM336" s="60"/>
      <c r="AN336" s="60"/>
      <c r="AO336" s="60"/>
      <c r="AP336" s="60"/>
      <c r="AQ336" s="60"/>
      <c r="AR336" s="60"/>
      <c r="AS336" s="60"/>
      <c r="AT336" s="60"/>
      <c r="AU336" s="60"/>
      <c r="AV336" s="60"/>
      <c r="AW336" s="60"/>
      <c r="AX336" s="60"/>
      <c r="AY336" s="60"/>
      <c r="AZ336" s="60"/>
      <c r="BA336" s="60"/>
      <c r="BB336" s="60"/>
      <c r="BC336" s="60"/>
      <c r="BD336" s="60"/>
      <c r="BE336" s="60"/>
      <c r="BF336" s="60"/>
      <c r="BG336" s="60"/>
      <c r="BH336" s="60"/>
      <c r="BI336" s="60"/>
      <c r="BJ336" s="60"/>
      <c r="BK336" s="60"/>
    </row>
    <row r="337" spans="1:63" x14ac:dyDescent="0.3">
      <c r="B337" s="17" t="s">
        <v>34</v>
      </c>
      <c r="C337" s="73"/>
      <c r="D337" s="7" t="s">
        <v>27</v>
      </c>
      <c r="E337" s="73"/>
      <c r="F337" s="135">
        <v>2.9999999999999997E-4</v>
      </c>
      <c r="G337" s="74">
        <f>$F$315</f>
        <v>1000</v>
      </c>
      <c r="H337" s="136">
        <f t="shared" ref="H337:H343" si="60">G337*F337</f>
        <v>0.3</v>
      </c>
      <c r="I337" s="76"/>
      <c r="J337" s="135">
        <v>-5.0000000000000001E-4</v>
      </c>
      <c r="K337" s="74">
        <f>$F$315</f>
        <v>1000</v>
      </c>
      <c r="L337" s="136">
        <f t="shared" ref="L337:L343" si="61">K337*J337</f>
        <v>-0.5</v>
      </c>
      <c r="M337" s="76"/>
      <c r="N337" s="137">
        <f t="shared" si="54"/>
        <v>-0.8</v>
      </c>
      <c r="O337" s="79">
        <f t="shared" si="55"/>
        <v>-2.666666666666667</v>
      </c>
    </row>
    <row r="338" spans="1:63" x14ac:dyDescent="0.3">
      <c r="B338" s="17"/>
      <c r="C338" s="73"/>
      <c r="D338" s="7"/>
      <c r="E338" s="73"/>
      <c r="F338" s="8"/>
      <c r="G338" s="74">
        <f t="shared" ref="G338:G341" si="62">$F$315</f>
        <v>1000</v>
      </c>
      <c r="H338" s="136">
        <f t="shared" si="60"/>
        <v>0</v>
      </c>
      <c r="I338" s="82"/>
      <c r="J338" s="8"/>
      <c r="K338" s="74">
        <f t="shared" ref="K338:K341" si="63">$F$315</f>
        <v>1000</v>
      </c>
      <c r="L338" s="136">
        <f t="shared" si="61"/>
        <v>0</v>
      </c>
      <c r="M338" s="83"/>
      <c r="N338" s="137">
        <f t="shared" si="54"/>
        <v>0</v>
      </c>
      <c r="O338" s="79" t="str">
        <f t="shared" si="55"/>
        <v/>
      </c>
    </row>
    <row r="339" spans="1:63" x14ac:dyDescent="0.3">
      <c r="B339" s="17"/>
      <c r="C339" s="73"/>
      <c r="D339" s="7"/>
      <c r="E339" s="73"/>
      <c r="F339" s="8"/>
      <c r="G339" s="74">
        <f t="shared" si="62"/>
        <v>1000</v>
      </c>
      <c r="H339" s="136">
        <f t="shared" si="60"/>
        <v>0</v>
      </c>
      <c r="I339" s="82"/>
      <c r="J339" s="8"/>
      <c r="K339" s="74">
        <f t="shared" si="63"/>
        <v>1000</v>
      </c>
      <c r="L339" s="136">
        <f t="shared" si="61"/>
        <v>0</v>
      </c>
      <c r="M339" s="83"/>
      <c r="N339" s="137">
        <f t="shared" si="54"/>
        <v>0</v>
      </c>
      <c r="O339" s="79" t="str">
        <f t="shared" si="55"/>
        <v/>
      </c>
    </row>
    <row r="340" spans="1:63" x14ac:dyDescent="0.3">
      <c r="B340" s="17"/>
      <c r="C340" s="73"/>
      <c r="D340" s="7"/>
      <c r="E340" s="73"/>
      <c r="F340" s="8"/>
      <c r="G340" s="74">
        <f t="shared" si="62"/>
        <v>1000</v>
      </c>
      <c r="H340" s="136">
        <f t="shared" si="60"/>
        <v>0</v>
      </c>
      <c r="I340" s="82"/>
      <c r="J340" s="8"/>
      <c r="K340" s="74">
        <f t="shared" si="63"/>
        <v>1000</v>
      </c>
      <c r="L340" s="136">
        <f t="shared" si="61"/>
        <v>0</v>
      </c>
      <c r="M340" s="83"/>
      <c r="N340" s="137">
        <f t="shared" si="54"/>
        <v>0</v>
      </c>
      <c r="O340" s="79" t="str">
        <f t="shared" si="55"/>
        <v/>
      </c>
    </row>
    <row r="341" spans="1:63" x14ac:dyDescent="0.3">
      <c r="B341" s="80" t="s">
        <v>35</v>
      </c>
      <c r="C341" s="73"/>
      <c r="D341" s="7" t="s">
        <v>27</v>
      </c>
      <c r="E341" s="73"/>
      <c r="F341" s="135">
        <v>2.0000000000000001E-4</v>
      </c>
      <c r="G341" s="74">
        <f t="shared" si="62"/>
        <v>1000</v>
      </c>
      <c r="H341" s="136">
        <f t="shared" si="60"/>
        <v>0.2</v>
      </c>
      <c r="I341" s="76"/>
      <c r="J341" s="135">
        <v>4.0000000000000002E-4</v>
      </c>
      <c r="K341" s="74">
        <f t="shared" si="63"/>
        <v>1000</v>
      </c>
      <c r="L341" s="136">
        <f t="shared" si="61"/>
        <v>0.4</v>
      </c>
      <c r="M341" s="76"/>
      <c r="N341" s="137">
        <f t="shared" si="54"/>
        <v>0.2</v>
      </c>
      <c r="O341" s="79">
        <f t="shared" si="55"/>
        <v>1</v>
      </c>
    </row>
    <row r="342" spans="1:63" x14ac:dyDescent="0.3">
      <c r="B342" s="80" t="s">
        <v>36</v>
      </c>
      <c r="C342" s="73"/>
      <c r="D342" s="7" t="s">
        <v>27</v>
      </c>
      <c r="E342" s="73"/>
      <c r="F342" s="138">
        <f>IF(ISBLANK(D313)=TRUE, 0, IF(D313="TOU", 0.64*$F352+0.18*$F353+0.18*$F354, IF(AND(D313="non-TOU", G356&gt;0), F356,F355)))</f>
        <v>8.3919999999999995E-2</v>
      </c>
      <c r="G342" s="18">
        <f>$F$315*(1+$F$371)-$F$315</f>
        <v>37.700000000000045</v>
      </c>
      <c r="H342" s="136">
        <f t="shared" si="60"/>
        <v>3.1637840000000037</v>
      </c>
      <c r="I342" s="76"/>
      <c r="J342" s="138">
        <f>0.64*$F352+0.18*$F353+0.18*$F354</f>
        <v>8.3919999999999995E-2</v>
      </c>
      <c r="K342" s="18">
        <f>$F$315*(1+$J$371)-$F$315</f>
        <v>37.600000000000136</v>
      </c>
      <c r="L342" s="136">
        <f t="shared" si="61"/>
        <v>3.1553920000000111</v>
      </c>
      <c r="M342" s="76"/>
      <c r="N342" s="137">
        <f t="shared" si="54"/>
        <v>-8.3919999999926276E-3</v>
      </c>
      <c r="O342" s="79">
        <f t="shared" si="55"/>
        <v>-2.6525198938968709E-3</v>
      </c>
    </row>
    <row r="343" spans="1:63" x14ac:dyDescent="0.3">
      <c r="B343" s="80" t="s">
        <v>37</v>
      </c>
      <c r="C343" s="73"/>
      <c r="D343" s="7" t="s">
        <v>24</v>
      </c>
      <c r="E343" s="73"/>
      <c r="F343" s="138">
        <v>0.79</v>
      </c>
      <c r="G343" s="74">
        <v>1</v>
      </c>
      <c r="H343" s="136">
        <f t="shared" si="60"/>
        <v>0.79</v>
      </c>
      <c r="I343" s="76"/>
      <c r="J343" s="138">
        <v>0.79</v>
      </c>
      <c r="K343" s="81">
        <v>1</v>
      </c>
      <c r="L343" s="136">
        <f t="shared" si="61"/>
        <v>0.79</v>
      </c>
      <c r="M343" s="76"/>
      <c r="N343" s="137">
        <f t="shared" si="54"/>
        <v>0</v>
      </c>
      <c r="O343" s="79"/>
    </row>
    <row r="344" spans="1:63" s="4" customFormat="1" x14ac:dyDescent="0.3">
      <c r="A344" s="60"/>
      <c r="B344" s="19" t="s">
        <v>38</v>
      </c>
      <c r="C344" s="20"/>
      <c r="D344" s="20"/>
      <c r="E344" s="20"/>
      <c r="F344" s="21"/>
      <c r="G344" s="22"/>
      <c r="H344" s="23">
        <f>SUM(H337:H343)+H336</f>
        <v>36.123784000000001</v>
      </c>
      <c r="I344" s="13"/>
      <c r="J344" s="22"/>
      <c r="K344" s="24"/>
      <c r="L344" s="23">
        <f>SUM(L337:L343)+L336</f>
        <v>34.63539200000001</v>
      </c>
      <c r="M344" s="13"/>
      <c r="N344" s="15">
        <f t="shared" si="54"/>
        <v>-1.4883919999999904</v>
      </c>
      <c r="O344" s="16">
        <f t="shared" ref="O344:O356" si="64">IF((H344)=0,"",(N344/H344))</f>
        <v>-4.1202549544643231E-2</v>
      </c>
      <c r="P344" s="60"/>
      <c r="Q344" s="126"/>
      <c r="R344" s="126"/>
      <c r="S344" s="126"/>
      <c r="T344" s="126"/>
      <c r="U344" s="126"/>
      <c r="V344" s="126"/>
      <c r="W344" s="126"/>
      <c r="X344" s="126"/>
      <c r="Y344" s="126"/>
      <c r="Z344" s="126"/>
      <c r="AA344" s="126"/>
      <c r="AB344" s="126"/>
      <c r="AC344" s="126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0"/>
      <c r="AU344" s="60"/>
      <c r="AV344" s="60"/>
      <c r="AW344" s="60"/>
      <c r="AX344" s="60"/>
      <c r="AY344" s="60"/>
      <c r="AZ344" s="60"/>
      <c r="BA344" s="60"/>
      <c r="BB344" s="60"/>
      <c r="BC344" s="60"/>
      <c r="BD344" s="60"/>
      <c r="BE344" s="60"/>
      <c r="BF344" s="60"/>
      <c r="BG344" s="60"/>
      <c r="BH344" s="60"/>
      <c r="BI344" s="60"/>
      <c r="BJ344" s="60"/>
      <c r="BK344" s="60"/>
    </row>
    <row r="345" spans="1:63" x14ac:dyDescent="0.3">
      <c r="B345" s="76" t="s">
        <v>39</v>
      </c>
      <c r="C345" s="76"/>
      <c r="D345" s="25" t="s">
        <v>27</v>
      </c>
      <c r="E345" s="76"/>
      <c r="F345" s="135">
        <v>8.0000000000000002E-3</v>
      </c>
      <c r="G345" s="18">
        <f>F315*(1+F371)</f>
        <v>1037.7</v>
      </c>
      <c r="H345" s="136">
        <f>G345*F345</f>
        <v>8.3016000000000005</v>
      </c>
      <c r="I345" s="76"/>
      <c r="J345" s="135">
        <f>+$J$48</f>
        <v>7.9000000000000008E-3</v>
      </c>
      <c r="K345" s="18">
        <f>F315*(1+J371)</f>
        <v>1037.6000000000001</v>
      </c>
      <c r="L345" s="136">
        <f>K345*J345</f>
        <v>8.1970400000000012</v>
      </c>
      <c r="M345" s="76"/>
      <c r="N345" s="136">
        <f t="shared" si="54"/>
        <v>-0.10455999999999932</v>
      </c>
      <c r="O345" s="79">
        <f t="shared" si="64"/>
        <v>-1.2595162378336624E-2</v>
      </c>
    </row>
    <row r="346" spans="1:63" x14ac:dyDescent="0.3">
      <c r="B346" s="85" t="s">
        <v>40</v>
      </c>
      <c r="C346" s="76"/>
      <c r="D346" s="25" t="s">
        <v>27</v>
      </c>
      <c r="E346" s="76"/>
      <c r="F346" s="135">
        <v>5.4999999999999997E-3</v>
      </c>
      <c r="G346" s="18">
        <f>G345</f>
        <v>1037.7</v>
      </c>
      <c r="H346" s="136">
        <f>G346*F346</f>
        <v>5.7073499999999999</v>
      </c>
      <c r="I346" s="76"/>
      <c r="J346" s="135">
        <f>+$J$49</f>
        <v>5.3E-3</v>
      </c>
      <c r="K346" s="18">
        <f>K345</f>
        <v>1037.6000000000001</v>
      </c>
      <c r="L346" s="136">
        <f>K346*J346</f>
        <v>5.4992800000000006</v>
      </c>
      <c r="M346" s="76"/>
      <c r="N346" s="136">
        <f t="shared" si="54"/>
        <v>-0.20806999999999931</v>
      </c>
      <c r="O346" s="79">
        <f t="shared" si="64"/>
        <v>-3.6456499075753074E-2</v>
      </c>
    </row>
    <row r="347" spans="1:63" s="4" customFormat="1" x14ac:dyDescent="0.3">
      <c r="A347" s="60"/>
      <c r="B347" s="19" t="s">
        <v>41</v>
      </c>
      <c r="C347" s="20"/>
      <c r="D347" s="20"/>
      <c r="E347" s="20"/>
      <c r="F347" s="21"/>
      <c r="G347" s="22"/>
      <c r="H347" s="23">
        <f>SUM(H344:H346)</f>
        <v>50.132733999999999</v>
      </c>
      <c r="I347" s="13"/>
      <c r="J347" s="26"/>
      <c r="K347" s="22"/>
      <c r="L347" s="23">
        <f>SUM(L344:L346)</f>
        <v>48.33171200000001</v>
      </c>
      <c r="M347" s="13"/>
      <c r="N347" s="15">
        <f t="shared" si="54"/>
        <v>-1.801021999999989</v>
      </c>
      <c r="O347" s="16">
        <f t="shared" si="64"/>
        <v>-3.5925070434019997E-2</v>
      </c>
      <c r="P347" s="60"/>
      <c r="Q347" s="126"/>
      <c r="R347" s="126"/>
      <c r="S347" s="126"/>
      <c r="T347" s="126"/>
      <c r="U347" s="126"/>
      <c r="V347" s="126"/>
      <c r="W347" s="126"/>
      <c r="X347" s="126"/>
      <c r="Y347" s="126"/>
      <c r="Z347" s="126"/>
      <c r="AA347" s="126"/>
      <c r="AB347" s="126"/>
      <c r="AC347" s="126"/>
      <c r="AD347" s="60"/>
      <c r="AE347" s="60"/>
      <c r="AF347" s="60"/>
      <c r="AG347" s="60"/>
      <c r="AH347" s="60"/>
      <c r="AI347" s="60"/>
      <c r="AJ347" s="60"/>
      <c r="AK347" s="60"/>
      <c r="AL347" s="60"/>
      <c r="AM347" s="60"/>
      <c r="AN347" s="60"/>
      <c r="AO347" s="60"/>
      <c r="AP347" s="60"/>
      <c r="AQ347" s="60"/>
      <c r="AR347" s="60"/>
      <c r="AS347" s="60"/>
      <c r="AT347" s="60"/>
      <c r="AU347" s="60"/>
      <c r="AV347" s="60"/>
      <c r="AW347" s="60"/>
      <c r="AX347" s="60"/>
      <c r="AY347" s="60"/>
      <c r="AZ347" s="60"/>
      <c r="BA347" s="60"/>
      <c r="BB347" s="60"/>
      <c r="BC347" s="60"/>
      <c r="BD347" s="60"/>
      <c r="BE347" s="60"/>
      <c r="BF347" s="60"/>
      <c r="BG347" s="60"/>
      <c r="BH347" s="60"/>
      <c r="BI347" s="60"/>
      <c r="BJ347" s="60"/>
      <c r="BK347" s="60"/>
    </row>
    <row r="348" spans="1:63" x14ac:dyDescent="0.3">
      <c r="B348" s="86" t="s">
        <v>42</v>
      </c>
      <c r="C348" s="73"/>
      <c r="D348" s="7" t="s">
        <v>27</v>
      </c>
      <c r="E348" s="73"/>
      <c r="F348" s="135">
        <v>4.4000000000000003E-3</v>
      </c>
      <c r="G348" s="18">
        <f>G346</f>
        <v>1037.7</v>
      </c>
      <c r="H348" s="139">
        <f t="shared" ref="H348:H356" si="65">G348*F348</f>
        <v>4.5658800000000008</v>
      </c>
      <c r="I348" s="76"/>
      <c r="J348" s="135">
        <v>4.4000000000000003E-3</v>
      </c>
      <c r="K348" s="18">
        <f>K346</f>
        <v>1037.6000000000001</v>
      </c>
      <c r="L348" s="139">
        <f t="shared" ref="L348:L356" si="66">K348*J348</f>
        <v>4.5654400000000006</v>
      </c>
      <c r="M348" s="76"/>
      <c r="N348" s="137">
        <f t="shared" si="54"/>
        <v>-4.4000000000021799E-4</v>
      </c>
      <c r="O348" s="87">
        <f t="shared" si="64"/>
        <v>-9.6366965404307147E-5</v>
      </c>
    </row>
    <row r="349" spans="1:63" x14ac:dyDescent="0.3">
      <c r="B349" s="86" t="s">
        <v>43</v>
      </c>
      <c r="C349" s="73"/>
      <c r="D349" s="7" t="s">
        <v>27</v>
      </c>
      <c r="E349" s="73"/>
      <c r="F349" s="135">
        <v>1.1999999999999999E-3</v>
      </c>
      <c r="G349" s="18">
        <f>G346</f>
        <v>1037.7</v>
      </c>
      <c r="H349" s="139">
        <f t="shared" si="65"/>
        <v>1.2452399999999999</v>
      </c>
      <c r="I349" s="76"/>
      <c r="J349" s="135">
        <v>1.2999999999999999E-3</v>
      </c>
      <c r="K349" s="18">
        <f>K346</f>
        <v>1037.6000000000001</v>
      </c>
      <c r="L349" s="139">
        <f t="shared" si="66"/>
        <v>1.3488800000000001</v>
      </c>
      <c r="M349" s="76"/>
      <c r="N349" s="137">
        <f t="shared" si="54"/>
        <v>0.10364000000000018</v>
      </c>
      <c r="O349" s="87">
        <f t="shared" si="64"/>
        <v>8.3228935787478864E-2</v>
      </c>
    </row>
    <row r="350" spans="1:63" x14ac:dyDescent="0.3">
      <c r="B350" s="73" t="s">
        <v>44</v>
      </c>
      <c r="C350" s="73"/>
      <c r="D350" s="7" t="s">
        <v>24</v>
      </c>
      <c r="E350" s="73"/>
      <c r="F350" s="135">
        <v>0.25</v>
      </c>
      <c r="G350" s="81">
        <v>1</v>
      </c>
      <c r="H350" s="139">
        <f t="shared" si="65"/>
        <v>0.25</v>
      </c>
      <c r="I350" s="76"/>
      <c r="J350" s="135">
        <v>0.25</v>
      </c>
      <c r="K350" s="77">
        <v>1</v>
      </c>
      <c r="L350" s="139">
        <f t="shared" si="66"/>
        <v>0.25</v>
      </c>
      <c r="M350" s="76"/>
      <c r="N350" s="137">
        <f t="shared" si="54"/>
        <v>0</v>
      </c>
      <c r="O350" s="87">
        <f t="shared" si="64"/>
        <v>0</v>
      </c>
    </row>
    <row r="351" spans="1:63" x14ac:dyDescent="0.3">
      <c r="B351" s="73" t="s">
        <v>45</v>
      </c>
      <c r="C351" s="73"/>
      <c r="D351" s="7" t="s">
        <v>27</v>
      </c>
      <c r="E351" s="73"/>
      <c r="F351" s="135">
        <v>7.0000000000000001E-3</v>
      </c>
      <c r="G351" s="84">
        <f>F315</f>
        <v>1000</v>
      </c>
      <c r="H351" s="139">
        <f t="shared" si="65"/>
        <v>7</v>
      </c>
      <c r="I351" s="76"/>
      <c r="J351" s="135">
        <v>7.0000000000000001E-3</v>
      </c>
      <c r="K351" s="77">
        <f>F315</f>
        <v>1000</v>
      </c>
      <c r="L351" s="139">
        <f t="shared" si="66"/>
        <v>7</v>
      </c>
      <c r="M351" s="76"/>
      <c r="N351" s="137">
        <f t="shared" si="54"/>
        <v>0</v>
      </c>
      <c r="O351" s="87">
        <f t="shared" si="64"/>
        <v>0</v>
      </c>
    </row>
    <row r="352" spans="1:63" x14ac:dyDescent="0.3">
      <c r="B352" s="80" t="s">
        <v>46</v>
      </c>
      <c r="C352" s="73"/>
      <c r="D352" s="7" t="s">
        <v>27</v>
      </c>
      <c r="E352" s="73"/>
      <c r="F352" s="138">
        <v>6.7000000000000004E-2</v>
      </c>
      <c r="G352" s="27">
        <f>0.64*$F$315</f>
        <v>640</v>
      </c>
      <c r="H352" s="139">
        <f t="shared" si="65"/>
        <v>42.88</v>
      </c>
      <c r="I352" s="76"/>
      <c r="J352" s="138">
        <v>6.7000000000000004E-2</v>
      </c>
      <c r="K352" s="28">
        <f>G352</f>
        <v>640</v>
      </c>
      <c r="L352" s="139">
        <f t="shared" si="66"/>
        <v>42.88</v>
      </c>
      <c r="M352" s="76"/>
      <c r="N352" s="137">
        <f t="shared" si="54"/>
        <v>0</v>
      </c>
      <c r="O352" s="87">
        <f t="shared" si="64"/>
        <v>0</v>
      </c>
      <c r="S352" s="127"/>
    </row>
    <row r="353" spans="1:63" x14ac:dyDescent="0.3">
      <c r="B353" s="80" t="s">
        <v>47</v>
      </c>
      <c r="C353" s="73"/>
      <c r="D353" s="7" t="s">
        <v>27</v>
      </c>
      <c r="E353" s="73"/>
      <c r="F353" s="138">
        <v>0.104</v>
      </c>
      <c r="G353" s="27">
        <f>0.18*$F$315</f>
        <v>180</v>
      </c>
      <c r="H353" s="139">
        <f t="shared" si="65"/>
        <v>18.72</v>
      </c>
      <c r="I353" s="76"/>
      <c r="J353" s="138">
        <v>0.104</v>
      </c>
      <c r="K353" s="28">
        <f>G353</f>
        <v>180</v>
      </c>
      <c r="L353" s="139">
        <f t="shared" si="66"/>
        <v>18.72</v>
      </c>
      <c r="M353" s="76"/>
      <c r="N353" s="137">
        <f t="shared" si="54"/>
        <v>0</v>
      </c>
      <c r="O353" s="87">
        <f t="shared" si="64"/>
        <v>0</v>
      </c>
      <c r="S353" s="127"/>
    </row>
    <row r="354" spans="1:63" x14ac:dyDescent="0.3">
      <c r="B354" s="64" t="s">
        <v>48</v>
      </c>
      <c r="C354" s="73"/>
      <c r="D354" s="7" t="s">
        <v>27</v>
      </c>
      <c r="E354" s="73"/>
      <c r="F354" s="138">
        <v>0.124</v>
      </c>
      <c r="G354" s="27">
        <f>0.18*$F$315</f>
        <v>180</v>
      </c>
      <c r="H354" s="139">
        <f t="shared" si="65"/>
        <v>22.32</v>
      </c>
      <c r="I354" s="76"/>
      <c r="J354" s="138">
        <v>0.124</v>
      </c>
      <c r="K354" s="28">
        <f>G354</f>
        <v>180</v>
      </c>
      <c r="L354" s="139">
        <f t="shared" si="66"/>
        <v>22.32</v>
      </c>
      <c r="M354" s="76"/>
      <c r="N354" s="137">
        <f t="shared" si="54"/>
        <v>0</v>
      </c>
      <c r="O354" s="87">
        <f t="shared" si="64"/>
        <v>0</v>
      </c>
      <c r="S354" s="127"/>
    </row>
    <row r="355" spans="1:63" s="92" customFormat="1" x14ac:dyDescent="0.25">
      <c r="B355" s="89" t="s">
        <v>49</v>
      </c>
      <c r="C355" s="90"/>
      <c r="D355" s="29" t="s">
        <v>27</v>
      </c>
      <c r="E355" s="90"/>
      <c r="F355" s="138">
        <v>7.4999999999999997E-2</v>
      </c>
      <c r="G355" s="30">
        <f>IF(AND($T$1=1, F315&gt;=600), 600, IF(AND($T$1=1, AND(F315&lt;600, F315&gt;=0)), F315, IF(AND($T$1=2, F315&gt;=1000), 1000, IF(AND($T$1=2, AND(F315&lt;1000, F315&gt;=0)), F315))))</f>
        <v>600</v>
      </c>
      <c r="H355" s="139">
        <f t="shared" si="65"/>
        <v>45</v>
      </c>
      <c r="I355" s="91"/>
      <c r="J355" s="138">
        <v>7.4999999999999997E-2</v>
      </c>
      <c r="K355" s="31">
        <f>G355</f>
        <v>600</v>
      </c>
      <c r="L355" s="139">
        <f t="shared" si="66"/>
        <v>45</v>
      </c>
      <c r="M355" s="91"/>
      <c r="N355" s="140">
        <f t="shared" si="54"/>
        <v>0</v>
      </c>
      <c r="O355" s="87">
        <f t="shared" si="64"/>
        <v>0</v>
      </c>
      <c r="Q355" s="128"/>
      <c r="R355" s="128"/>
      <c r="S355" s="128"/>
      <c r="T355" s="128"/>
      <c r="U355" s="128"/>
      <c r="V355" s="128"/>
      <c r="W355" s="128"/>
      <c r="X355" s="128"/>
      <c r="Y355" s="128"/>
      <c r="Z355" s="128"/>
      <c r="AA355" s="128"/>
      <c r="AB355" s="128"/>
      <c r="AC355" s="128"/>
    </row>
    <row r="356" spans="1:63" s="92" customFormat="1" ht="15" thickBot="1" x14ac:dyDescent="0.3">
      <c r="B356" s="89" t="s">
        <v>50</v>
      </c>
      <c r="C356" s="90"/>
      <c r="D356" s="29" t="s">
        <v>27</v>
      </c>
      <c r="E356" s="90"/>
      <c r="F356" s="138">
        <v>8.7999999999999995E-2</v>
      </c>
      <c r="G356" s="30">
        <f>IF(AND($T$1=1, F315&gt;=600), F315-600, IF(AND($T$1=1, AND(F315&lt;600, F315&gt;=0)), 0, IF(AND($T$1=2, F315&gt;=1000), F315-1000, IF(AND($T$1=2, AND(F315&lt;1000, F315&gt;=0)), 0))))</f>
        <v>400</v>
      </c>
      <c r="H356" s="139">
        <f t="shared" si="65"/>
        <v>35.199999999999996</v>
      </c>
      <c r="I356" s="91"/>
      <c r="J356" s="138">
        <v>8.7999999999999995E-2</v>
      </c>
      <c r="K356" s="31">
        <f>G356</f>
        <v>400</v>
      </c>
      <c r="L356" s="139">
        <f t="shared" si="66"/>
        <v>35.199999999999996</v>
      </c>
      <c r="M356" s="91"/>
      <c r="N356" s="140">
        <f t="shared" si="54"/>
        <v>0</v>
      </c>
      <c r="O356" s="87">
        <f t="shared" si="64"/>
        <v>0</v>
      </c>
      <c r="Q356" s="128"/>
      <c r="R356" s="128"/>
      <c r="S356" s="128"/>
      <c r="T356" s="128"/>
      <c r="U356" s="128"/>
      <c r="V356" s="128"/>
      <c r="W356" s="128"/>
      <c r="X356" s="128"/>
      <c r="Y356" s="128"/>
      <c r="Z356" s="128"/>
      <c r="AA356" s="128"/>
      <c r="AB356" s="128"/>
      <c r="AC356" s="128"/>
    </row>
    <row r="357" spans="1:63" s="4" customFormat="1" ht="15" thickBot="1" x14ac:dyDescent="0.35">
      <c r="A357" s="60"/>
      <c r="B357" s="32"/>
      <c r="C357" s="33"/>
      <c r="D357" s="124"/>
      <c r="E357" s="33"/>
      <c r="F357" s="35"/>
      <c r="G357" s="36"/>
      <c r="H357" s="122"/>
      <c r="I357" s="123"/>
      <c r="J357" s="35"/>
      <c r="K357" s="39"/>
      <c r="L357" s="122"/>
      <c r="M357" s="123"/>
      <c r="N357" s="40"/>
      <c r="O357" s="41"/>
      <c r="P357" s="60"/>
      <c r="Q357" s="126"/>
      <c r="R357" s="126"/>
      <c r="S357" s="126"/>
      <c r="T357" s="126"/>
      <c r="U357" s="126"/>
      <c r="V357" s="126"/>
      <c r="W357" s="126"/>
      <c r="X357" s="126"/>
      <c r="Y357" s="126"/>
      <c r="Z357" s="126"/>
      <c r="AA357" s="126"/>
      <c r="AB357" s="126"/>
      <c r="AC357" s="126"/>
      <c r="AD357" s="60"/>
      <c r="AE357" s="60"/>
      <c r="AF357" s="60"/>
      <c r="AG357" s="60"/>
      <c r="AH357" s="60"/>
      <c r="AI357" s="60"/>
      <c r="AJ357" s="60"/>
      <c r="AK357" s="60"/>
      <c r="AL357" s="60"/>
      <c r="AM357" s="60"/>
      <c r="AN357" s="60"/>
      <c r="AO357" s="60"/>
      <c r="AP357" s="60"/>
      <c r="AQ357" s="60"/>
      <c r="AR357" s="60"/>
      <c r="AS357" s="60"/>
      <c r="AT357" s="60"/>
      <c r="AU357" s="60"/>
      <c r="AV357" s="60"/>
      <c r="AW357" s="60"/>
      <c r="AX357" s="60"/>
      <c r="AY357" s="60"/>
      <c r="AZ357" s="60"/>
      <c r="BA357" s="60"/>
      <c r="BB357" s="60"/>
      <c r="BC357" s="60"/>
      <c r="BD357" s="60"/>
      <c r="BE357" s="60"/>
      <c r="BF357" s="60"/>
      <c r="BG357" s="60"/>
      <c r="BH357" s="60"/>
      <c r="BI357" s="60"/>
      <c r="BJ357" s="60"/>
      <c r="BK357" s="60"/>
    </row>
    <row r="358" spans="1:63" x14ac:dyDescent="0.3">
      <c r="B358" s="93" t="s">
        <v>51</v>
      </c>
      <c r="C358" s="73"/>
      <c r="D358" s="73"/>
      <c r="E358" s="73"/>
      <c r="F358" s="94"/>
      <c r="G358" s="95"/>
      <c r="H358" s="141">
        <f>SUM(H348:H354,H347)</f>
        <v>147.113854</v>
      </c>
      <c r="I358" s="96"/>
      <c r="J358" s="97"/>
      <c r="K358" s="97"/>
      <c r="L358" s="144">
        <f>SUM(L348:L354,L347)</f>
        <v>145.416032</v>
      </c>
      <c r="M358" s="145"/>
      <c r="N358" s="146">
        <f>L358-H358</f>
        <v>-1.6978220000000022</v>
      </c>
      <c r="O358" s="98">
        <f>IF((H358)=0,"",(N358/H358))</f>
        <v>-1.1540870923006355E-2</v>
      </c>
      <c r="S358" s="127"/>
    </row>
    <row r="359" spans="1:63" x14ac:dyDescent="0.3">
      <c r="B359" s="99" t="s">
        <v>52</v>
      </c>
      <c r="C359" s="73"/>
      <c r="D359" s="73"/>
      <c r="E359" s="73"/>
      <c r="F359" s="100">
        <v>0.13</v>
      </c>
      <c r="G359" s="101"/>
      <c r="H359" s="142">
        <f>H358*F359</f>
        <v>19.12480102</v>
      </c>
      <c r="I359" s="102"/>
      <c r="J359" s="103">
        <v>0.13</v>
      </c>
      <c r="K359" s="102"/>
      <c r="L359" s="147">
        <f>L358*J359</f>
        <v>18.90408416</v>
      </c>
      <c r="M359" s="148"/>
      <c r="N359" s="149">
        <f>L359-H359</f>
        <v>-0.22071685999999957</v>
      </c>
      <c r="O359" s="104">
        <f>IF((H359)=0,"",(N359/H359))</f>
        <v>-1.1540870923006319E-2</v>
      </c>
      <c r="S359" s="127"/>
    </row>
    <row r="360" spans="1:63" x14ac:dyDescent="0.3">
      <c r="B360" s="105" t="s">
        <v>53</v>
      </c>
      <c r="C360" s="73"/>
      <c r="D360" s="73"/>
      <c r="E360" s="73"/>
      <c r="F360" s="106"/>
      <c r="G360" s="101"/>
      <c r="H360" s="142">
        <f>H358+H359</f>
        <v>166.23865502000001</v>
      </c>
      <c r="I360" s="102"/>
      <c r="J360" s="102"/>
      <c r="K360" s="102"/>
      <c r="L360" s="147">
        <f>L358+L359</f>
        <v>164.32011616</v>
      </c>
      <c r="M360" s="148"/>
      <c r="N360" s="149">
        <f>L360-H360</f>
        <v>-1.9185388600000124</v>
      </c>
      <c r="O360" s="104">
        <f>IF((H360)=0,"",(N360/H360))</f>
        <v>-1.1540870923006414E-2</v>
      </c>
      <c r="S360" s="127"/>
    </row>
    <row r="361" spans="1:63" ht="14.4" customHeight="1" x14ac:dyDescent="0.3">
      <c r="B361" s="172" t="s">
        <v>54</v>
      </c>
      <c r="C361" s="172"/>
      <c r="D361" s="172"/>
      <c r="E361" s="73"/>
      <c r="F361" s="106"/>
      <c r="G361" s="101"/>
      <c r="H361" s="143">
        <f>ROUND(-H360*10%,2)</f>
        <v>-16.62</v>
      </c>
      <c r="I361" s="102"/>
      <c r="J361" s="102"/>
      <c r="K361" s="102"/>
      <c r="L361" s="150">
        <f>ROUND(-L360*10%,2)</f>
        <v>-16.43</v>
      </c>
      <c r="M361" s="148"/>
      <c r="N361" s="151">
        <f>L361-H361</f>
        <v>0.19000000000000128</v>
      </c>
      <c r="O361" s="107">
        <f>IF((H361)=0,"",(N361/H361))</f>
        <v>-1.1432009626955552E-2</v>
      </c>
    </row>
    <row r="362" spans="1:63" s="4" customFormat="1" ht="15" thickBot="1" x14ac:dyDescent="0.35">
      <c r="A362" s="60"/>
      <c r="B362" s="173" t="s">
        <v>55</v>
      </c>
      <c r="C362" s="173"/>
      <c r="D362" s="173"/>
      <c r="E362" s="42"/>
      <c r="F362" s="43"/>
      <c r="G362" s="44"/>
      <c r="H362" s="45">
        <f>H360+H361</f>
        <v>149.61865502000001</v>
      </c>
      <c r="I362" s="46"/>
      <c r="J362" s="46"/>
      <c r="K362" s="46"/>
      <c r="L362" s="47">
        <f>L360+L361</f>
        <v>147.89011615999999</v>
      </c>
      <c r="M362" s="48"/>
      <c r="N362" s="49">
        <f>L362-H362</f>
        <v>-1.7285388600000147</v>
      </c>
      <c r="O362" s="50">
        <f>IF((H362)=0,"",(N362/H362))</f>
        <v>-1.1552963497559549E-2</v>
      </c>
      <c r="P362" s="60"/>
      <c r="Q362" s="126"/>
      <c r="R362" s="126"/>
      <c r="S362" s="126"/>
      <c r="T362" s="126"/>
      <c r="U362" s="126"/>
      <c r="V362" s="126"/>
      <c r="W362" s="126"/>
      <c r="X362" s="126"/>
      <c r="Y362" s="126"/>
      <c r="Z362" s="126"/>
      <c r="AA362" s="126"/>
      <c r="AB362" s="126"/>
      <c r="AC362" s="126"/>
      <c r="AD362" s="60"/>
      <c r="AE362" s="60"/>
      <c r="AF362" s="60"/>
      <c r="AG362" s="60"/>
      <c r="AH362" s="60"/>
      <c r="AI362" s="60"/>
      <c r="AJ362" s="60"/>
      <c r="AK362" s="60"/>
      <c r="AL362" s="60"/>
      <c r="AM362" s="60"/>
      <c r="AN362" s="60"/>
      <c r="AO362" s="60"/>
      <c r="AP362" s="60"/>
      <c r="AQ362" s="60"/>
      <c r="AR362" s="60"/>
      <c r="AS362" s="60"/>
      <c r="AT362" s="60"/>
      <c r="AU362" s="60"/>
      <c r="AV362" s="60"/>
      <c r="AW362" s="60"/>
      <c r="AX362" s="60"/>
      <c r="AY362" s="60"/>
      <c r="AZ362" s="60"/>
      <c r="BA362" s="60"/>
      <c r="BB362" s="60"/>
      <c r="BC362" s="60"/>
      <c r="BD362" s="60"/>
      <c r="BE362" s="60"/>
      <c r="BF362" s="60"/>
      <c r="BG362" s="60"/>
      <c r="BH362" s="60"/>
      <c r="BI362" s="60"/>
      <c r="BJ362" s="60"/>
      <c r="BK362" s="60"/>
    </row>
    <row r="363" spans="1:63" s="4" customFormat="1" ht="15" thickBot="1" x14ac:dyDescent="0.35">
      <c r="A363" s="60"/>
      <c r="B363" s="32"/>
      <c r="C363" s="33"/>
      <c r="D363" s="34"/>
      <c r="E363" s="33"/>
      <c r="F363" s="35"/>
      <c r="G363" s="36"/>
      <c r="H363" s="37"/>
      <c r="I363" s="38"/>
      <c r="J363" s="35"/>
      <c r="K363" s="39"/>
      <c r="L363" s="37"/>
      <c r="M363" s="123"/>
      <c r="N363" s="40"/>
      <c r="O363" s="41"/>
      <c r="P363" s="60"/>
      <c r="Q363" s="126"/>
      <c r="R363" s="126"/>
      <c r="S363" s="126"/>
      <c r="T363" s="126"/>
      <c r="U363" s="126"/>
      <c r="V363" s="126"/>
      <c r="W363" s="126"/>
      <c r="X363" s="126"/>
      <c r="Y363" s="126"/>
      <c r="Z363" s="126"/>
      <c r="AA363" s="126"/>
      <c r="AB363" s="126"/>
      <c r="AC363" s="126"/>
      <c r="AD363" s="60"/>
      <c r="AE363" s="60"/>
      <c r="AF363" s="60"/>
      <c r="AG363" s="60"/>
      <c r="AH363" s="60"/>
      <c r="AI363" s="60"/>
      <c r="AJ363" s="60"/>
      <c r="AK363" s="60"/>
      <c r="AL363" s="60"/>
      <c r="AM363" s="60"/>
      <c r="AN363" s="60"/>
      <c r="AO363" s="60"/>
      <c r="AP363" s="60"/>
      <c r="AQ363" s="60"/>
      <c r="AR363" s="60"/>
      <c r="AS363" s="60"/>
      <c r="AT363" s="60"/>
      <c r="AU363" s="60"/>
      <c r="AV363" s="60"/>
      <c r="AW363" s="60"/>
      <c r="AX363" s="60"/>
      <c r="AY363" s="60"/>
      <c r="AZ363" s="60"/>
      <c r="BA363" s="60"/>
      <c r="BB363" s="60"/>
      <c r="BC363" s="60"/>
      <c r="BD363" s="60"/>
      <c r="BE363" s="60"/>
      <c r="BF363" s="60"/>
      <c r="BG363" s="60"/>
      <c r="BH363" s="60"/>
      <c r="BI363" s="60"/>
      <c r="BJ363" s="60"/>
      <c r="BK363" s="60"/>
    </row>
    <row r="364" spans="1:63" s="92" customFormat="1" ht="13.2" x14ac:dyDescent="0.25">
      <c r="B364" s="108" t="s">
        <v>56</v>
      </c>
      <c r="C364" s="90"/>
      <c r="D364" s="90"/>
      <c r="E364" s="90"/>
      <c r="F364" s="109"/>
      <c r="G364" s="110"/>
      <c r="H364" s="152">
        <f>SUM(H355:H356,H347,H348:H351)</f>
        <v>143.39385399999998</v>
      </c>
      <c r="I364" s="111"/>
      <c r="J364" s="112"/>
      <c r="K364" s="112"/>
      <c r="L364" s="155">
        <f>SUM(L355:L356,L347,L348:L351)</f>
        <v>141.696032</v>
      </c>
      <c r="M364" s="156"/>
      <c r="N364" s="157">
        <f>L364-H364</f>
        <v>-1.6978219999999737</v>
      </c>
      <c r="O364" s="98">
        <f>IF((H364)=0,"",(N364/H364))</f>
        <v>-1.1840270364725493E-2</v>
      </c>
      <c r="Q364" s="128"/>
      <c r="R364" s="128"/>
      <c r="S364" s="128"/>
      <c r="T364" s="128"/>
      <c r="U364" s="128"/>
      <c r="V364" s="128"/>
      <c r="W364" s="128"/>
      <c r="X364" s="128"/>
      <c r="Y364" s="128"/>
      <c r="Z364" s="128"/>
      <c r="AA364" s="128"/>
      <c r="AB364" s="128"/>
      <c r="AC364" s="128"/>
    </row>
    <row r="365" spans="1:63" s="92" customFormat="1" ht="13.2" x14ac:dyDescent="0.25">
      <c r="B365" s="113" t="s">
        <v>52</v>
      </c>
      <c r="C365" s="90"/>
      <c r="D365" s="90"/>
      <c r="E365" s="90"/>
      <c r="F365" s="114">
        <v>0.13</v>
      </c>
      <c r="G365" s="110"/>
      <c r="H365" s="153">
        <f>H364*F365</f>
        <v>18.641201019999997</v>
      </c>
      <c r="I365" s="115"/>
      <c r="J365" s="116">
        <v>0.13</v>
      </c>
      <c r="K365" s="117"/>
      <c r="L365" s="158">
        <f>L364*J365</f>
        <v>18.420484160000001</v>
      </c>
      <c r="M365" s="159"/>
      <c r="N365" s="160">
        <f>L365-H365</f>
        <v>-0.22071685999999602</v>
      </c>
      <c r="O365" s="104">
        <f>IF((H365)=0,"",(N365/H365))</f>
        <v>-1.1840270364725462E-2</v>
      </c>
      <c r="Q365" s="128"/>
      <c r="R365" s="128"/>
      <c r="S365" s="128"/>
      <c r="T365" s="128"/>
      <c r="U365" s="128"/>
      <c r="V365" s="128"/>
      <c r="W365" s="128"/>
      <c r="X365" s="128"/>
      <c r="Y365" s="128"/>
      <c r="Z365" s="128"/>
      <c r="AA365" s="128"/>
      <c r="AB365" s="128"/>
      <c r="AC365" s="128"/>
    </row>
    <row r="366" spans="1:63" s="92" customFormat="1" ht="13.2" x14ac:dyDescent="0.25">
      <c r="B366" s="118" t="s">
        <v>53</v>
      </c>
      <c r="C366" s="90"/>
      <c r="D366" s="90"/>
      <c r="E366" s="90"/>
      <c r="F366" s="119"/>
      <c r="G366" s="120"/>
      <c r="H366" s="153">
        <f>H364+H365</f>
        <v>162.03505501999996</v>
      </c>
      <c r="I366" s="115"/>
      <c r="J366" s="115"/>
      <c r="K366" s="115"/>
      <c r="L366" s="158">
        <f>L364+L365</f>
        <v>160.11651616</v>
      </c>
      <c r="M366" s="159"/>
      <c r="N366" s="160">
        <f>L366-H366</f>
        <v>-1.9185388599999555</v>
      </c>
      <c r="O366" s="104">
        <f>IF((H366)=0,"",(N366/H366))</f>
        <v>-1.1840270364725403E-2</v>
      </c>
      <c r="Q366" s="128"/>
      <c r="R366" s="128"/>
      <c r="S366" s="128"/>
      <c r="T366" s="128"/>
      <c r="U366" s="128"/>
      <c r="V366" s="128"/>
      <c r="W366" s="128"/>
      <c r="X366" s="128"/>
      <c r="Y366" s="128"/>
      <c r="Z366" s="128"/>
      <c r="AA366" s="128"/>
      <c r="AB366" s="128"/>
      <c r="AC366" s="128"/>
    </row>
    <row r="367" spans="1:63" s="92" customFormat="1" ht="13.2" customHeight="1" x14ac:dyDescent="0.25">
      <c r="B367" s="174" t="s">
        <v>54</v>
      </c>
      <c r="C367" s="174"/>
      <c r="D367" s="174"/>
      <c r="E367" s="90"/>
      <c r="F367" s="119"/>
      <c r="G367" s="120"/>
      <c r="H367" s="154">
        <f>ROUND(-H366*10%,2)</f>
        <v>-16.2</v>
      </c>
      <c r="I367" s="115"/>
      <c r="J367" s="115"/>
      <c r="K367" s="115"/>
      <c r="L367" s="161">
        <f>ROUND(-L366*10%,2)</f>
        <v>-16.010000000000002</v>
      </c>
      <c r="M367" s="159"/>
      <c r="N367" s="162">
        <f>L367-H367</f>
        <v>0.18999999999999773</v>
      </c>
      <c r="O367" s="107">
        <f>IF((H367)=0,"",(N367/H367))</f>
        <v>-1.1728395061728255E-2</v>
      </c>
      <c r="Q367" s="128"/>
      <c r="R367" s="128"/>
      <c r="S367" s="128"/>
      <c r="T367" s="128"/>
      <c r="U367" s="128"/>
      <c r="V367" s="128"/>
      <c r="W367" s="128"/>
      <c r="X367" s="128"/>
      <c r="Y367" s="128"/>
      <c r="Z367" s="128"/>
      <c r="AA367" s="128"/>
      <c r="AB367" s="128"/>
      <c r="AC367" s="128"/>
    </row>
    <row r="368" spans="1:63" s="4" customFormat="1" ht="15" thickBot="1" x14ac:dyDescent="0.35">
      <c r="A368" s="60"/>
      <c r="B368" s="173" t="s">
        <v>57</v>
      </c>
      <c r="C368" s="173"/>
      <c r="D368" s="173"/>
      <c r="E368" s="42"/>
      <c r="F368" s="43"/>
      <c r="G368" s="44"/>
      <c r="H368" s="45">
        <f>SUM(H366:H367)</f>
        <v>145.83505501999997</v>
      </c>
      <c r="I368" s="46"/>
      <c r="J368" s="46"/>
      <c r="K368" s="46"/>
      <c r="L368" s="47">
        <f>SUM(L366:L367)</f>
        <v>144.10651616000001</v>
      </c>
      <c r="M368" s="48"/>
      <c r="N368" s="49">
        <f>L368-H368</f>
        <v>-1.7285388599999578</v>
      </c>
      <c r="O368" s="50">
        <f>IF((H368)=0,"",(N368/H368))</f>
        <v>-1.1852697965951356E-2</v>
      </c>
      <c r="P368" s="60"/>
      <c r="Q368" s="126"/>
      <c r="R368" s="126"/>
      <c r="S368" s="126"/>
      <c r="T368" s="126"/>
      <c r="U368" s="126"/>
      <c r="V368" s="126"/>
      <c r="W368" s="126"/>
      <c r="X368" s="126"/>
      <c r="Y368" s="126"/>
      <c r="Z368" s="126"/>
      <c r="AA368" s="126"/>
      <c r="AB368" s="126"/>
      <c r="AC368" s="126"/>
      <c r="AD368" s="60"/>
      <c r="AE368" s="60"/>
      <c r="AF368" s="60"/>
      <c r="AG368" s="60"/>
      <c r="AH368" s="60"/>
      <c r="AI368" s="60"/>
      <c r="AJ368" s="60"/>
      <c r="AK368" s="60"/>
      <c r="AL368" s="60"/>
      <c r="AM368" s="60"/>
      <c r="AN368" s="60"/>
      <c r="AO368" s="60"/>
      <c r="AP368" s="60"/>
      <c r="AQ368" s="60"/>
      <c r="AR368" s="60"/>
      <c r="AS368" s="60"/>
      <c r="AT368" s="60"/>
      <c r="AU368" s="60"/>
      <c r="AV368" s="60"/>
      <c r="AW368" s="60"/>
      <c r="AX368" s="60"/>
      <c r="AY368" s="60"/>
      <c r="AZ368" s="60"/>
      <c r="BA368" s="60"/>
      <c r="BB368" s="60"/>
      <c r="BC368" s="60"/>
      <c r="BD368" s="60"/>
      <c r="BE368" s="60"/>
      <c r="BF368" s="60"/>
      <c r="BG368" s="60"/>
      <c r="BH368" s="60"/>
      <c r="BI368" s="60"/>
      <c r="BJ368" s="60"/>
      <c r="BK368" s="60"/>
    </row>
    <row r="369" spans="1:63" s="4" customFormat="1" ht="15" thickBot="1" x14ac:dyDescent="0.35">
      <c r="A369" s="60"/>
      <c r="B369" s="32"/>
      <c r="C369" s="33"/>
      <c r="D369" s="34"/>
      <c r="E369" s="33"/>
      <c r="F369" s="35"/>
      <c r="G369" s="36"/>
      <c r="H369" s="122"/>
      <c r="I369" s="123"/>
      <c r="J369" s="35"/>
      <c r="K369" s="39"/>
      <c r="L369" s="37"/>
      <c r="M369" s="123"/>
      <c r="N369" s="40"/>
      <c r="O369" s="41"/>
      <c r="P369" s="60"/>
      <c r="Q369" s="126"/>
      <c r="R369" s="126"/>
      <c r="S369" s="126"/>
      <c r="T369" s="126"/>
      <c r="U369" s="126"/>
      <c r="V369" s="126"/>
      <c r="W369" s="126"/>
      <c r="X369" s="126"/>
      <c r="Y369" s="126"/>
      <c r="Z369" s="126"/>
      <c r="AA369" s="126"/>
      <c r="AB369" s="126"/>
      <c r="AC369" s="126"/>
      <c r="AD369" s="60"/>
      <c r="AE369" s="60"/>
      <c r="AF369" s="60"/>
      <c r="AG369" s="60"/>
      <c r="AH369" s="60"/>
      <c r="AI369" s="60"/>
      <c r="AJ369" s="60"/>
      <c r="AK369" s="60"/>
      <c r="AL369" s="60"/>
      <c r="AM369" s="60"/>
      <c r="AN369" s="60"/>
      <c r="AO369" s="60"/>
      <c r="AP369" s="60"/>
      <c r="AQ369" s="60"/>
      <c r="AR369" s="60"/>
      <c r="AS369" s="60"/>
      <c r="AT369" s="60"/>
      <c r="AU369" s="60"/>
      <c r="AV369" s="60"/>
      <c r="AW369" s="60"/>
      <c r="AX369" s="60"/>
      <c r="AY369" s="60"/>
      <c r="AZ369" s="60"/>
      <c r="BA369" s="60"/>
      <c r="BB369" s="60"/>
      <c r="BC369" s="60"/>
      <c r="BD369" s="60"/>
      <c r="BE369" s="60"/>
      <c r="BF369" s="60"/>
      <c r="BG369" s="60"/>
      <c r="BH369" s="60"/>
      <c r="BI369" s="60"/>
      <c r="BJ369" s="60"/>
      <c r="BK369" s="60"/>
    </row>
    <row r="370" spans="1:63" x14ac:dyDescent="0.3">
      <c r="L370" s="88"/>
    </row>
    <row r="371" spans="1:63" x14ac:dyDescent="0.3">
      <c r="B371" s="65" t="s">
        <v>58</v>
      </c>
      <c r="F371" s="51">
        <v>3.7699999999999997E-2</v>
      </c>
      <c r="J371" s="51">
        <f>+$J$74</f>
        <v>3.7600000000000001E-2</v>
      </c>
    </row>
    <row r="373" spans="1:63" x14ac:dyDescent="0.3">
      <c r="L373" s="56"/>
      <c r="M373" s="56"/>
      <c r="N373" s="56"/>
      <c r="O373" s="56"/>
      <c r="P373" s="56"/>
    </row>
    <row r="374" spans="1:63" ht="16.2" x14ac:dyDescent="0.3">
      <c r="A374" s="121" t="s">
        <v>59</v>
      </c>
    </row>
    <row r="376" spans="1:63" x14ac:dyDescent="0.3">
      <c r="A376" s="60" t="s">
        <v>60</v>
      </c>
    </row>
    <row r="377" spans="1:63" x14ac:dyDescent="0.3">
      <c r="A377" s="60" t="s">
        <v>61</v>
      </c>
    </row>
    <row r="379" spans="1:63" x14ac:dyDescent="0.3">
      <c r="B379" s="60" t="s">
        <v>62</v>
      </c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</row>
    <row r="381" spans="1:63" ht="18.75" customHeight="1" x14ac:dyDescent="0.3">
      <c r="B381" s="175" t="s">
        <v>6</v>
      </c>
      <c r="C381" s="175"/>
      <c r="D381" s="175"/>
      <c r="E381" s="175"/>
      <c r="F381" s="175"/>
      <c r="G381" s="175"/>
      <c r="H381" s="175"/>
      <c r="I381" s="175"/>
      <c r="J381" s="175"/>
      <c r="K381" s="175"/>
      <c r="L381" s="175"/>
      <c r="M381" s="175"/>
      <c r="N381" s="175"/>
      <c r="O381" s="175"/>
      <c r="P381" s="56"/>
    </row>
    <row r="382" spans="1:63" ht="18.75" customHeight="1" x14ac:dyDescent="0.3">
      <c r="B382" s="175" t="s">
        <v>7</v>
      </c>
      <c r="C382" s="175"/>
      <c r="D382" s="175"/>
      <c r="E382" s="175"/>
      <c r="F382" s="175"/>
      <c r="G382" s="175"/>
      <c r="H382" s="175"/>
      <c r="I382" s="175"/>
      <c r="J382" s="175"/>
      <c r="K382" s="175"/>
      <c r="L382" s="175"/>
      <c r="M382" s="175"/>
      <c r="N382" s="175"/>
      <c r="O382" s="175"/>
      <c r="P382" s="56"/>
    </row>
    <row r="383" spans="1:63" ht="7.5" customHeight="1" x14ac:dyDescent="0.3">
      <c r="L383" s="56"/>
      <c r="M383" s="56"/>
      <c r="N383" s="56"/>
      <c r="O383" s="56"/>
      <c r="P383" s="56"/>
    </row>
    <row r="384" spans="1:63" ht="7.5" customHeight="1" x14ac:dyDescent="0.3">
      <c r="L384" s="56"/>
      <c r="M384" s="56"/>
      <c r="N384" s="56"/>
      <c r="O384" s="56"/>
      <c r="P384" s="56"/>
    </row>
    <row r="385" spans="2:15" ht="15.6" x14ac:dyDescent="0.3">
      <c r="B385" s="61" t="s">
        <v>8</v>
      </c>
      <c r="D385" s="185" t="s">
        <v>66</v>
      </c>
      <c r="E385" s="185"/>
      <c r="F385" s="185"/>
      <c r="G385" s="185"/>
      <c r="H385" s="185"/>
      <c r="I385" s="185"/>
      <c r="J385" s="185"/>
      <c r="K385" s="185"/>
      <c r="L385" s="185"/>
      <c r="M385" s="185"/>
      <c r="N385" s="185"/>
      <c r="O385" s="185"/>
    </row>
    <row r="386" spans="2:15" ht="7.5" customHeight="1" x14ac:dyDescent="0.3">
      <c r="B386" s="62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</row>
    <row r="387" spans="2:15" ht="15.6" x14ac:dyDescent="0.3">
      <c r="B387" s="61" t="s">
        <v>9</v>
      </c>
      <c r="D387" s="5" t="s">
        <v>10</v>
      </c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</row>
    <row r="388" spans="2:15" ht="15.6" x14ac:dyDescent="0.3">
      <c r="B388" s="62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</row>
    <row r="389" spans="2:15" x14ac:dyDescent="0.3">
      <c r="B389" s="64"/>
      <c r="D389" s="65" t="s">
        <v>11</v>
      </c>
      <c r="E389" s="65"/>
      <c r="F389" s="6">
        <v>1500</v>
      </c>
      <c r="G389" s="65" t="s">
        <v>12</v>
      </c>
    </row>
    <row r="390" spans="2:15" x14ac:dyDescent="0.3">
      <c r="B390" s="64"/>
      <c r="G390" s="65"/>
    </row>
    <row r="391" spans="2:15" x14ac:dyDescent="0.3">
      <c r="B391" s="64"/>
      <c r="D391" s="66"/>
      <c r="E391" s="66"/>
      <c r="F391" s="176" t="s">
        <v>13</v>
      </c>
      <c r="G391" s="177"/>
      <c r="H391" s="178"/>
      <c r="J391" s="176" t="s">
        <v>14</v>
      </c>
      <c r="K391" s="177"/>
      <c r="L391" s="178"/>
      <c r="N391" s="176" t="s">
        <v>15</v>
      </c>
      <c r="O391" s="178"/>
    </row>
    <row r="392" spans="2:15" x14ac:dyDescent="0.3">
      <c r="B392" s="64"/>
      <c r="D392" s="179" t="s">
        <v>16</v>
      </c>
      <c r="E392" s="67"/>
      <c r="F392" s="68" t="s">
        <v>17</v>
      </c>
      <c r="G392" s="68" t="s">
        <v>18</v>
      </c>
      <c r="H392" s="69" t="s">
        <v>19</v>
      </c>
      <c r="J392" s="68" t="s">
        <v>17</v>
      </c>
      <c r="K392" s="70" t="s">
        <v>18</v>
      </c>
      <c r="L392" s="69" t="s">
        <v>19</v>
      </c>
      <c r="N392" s="181" t="s">
        <v>20</v>
      </c>
      <c r="O392" s="183" t="s">
        <v>21</v>
      </c>
    </row>
    <row r="393" spans="2:15" x14ac:dyDescent="0.3">
      <c r="B393" s="64"/>
      <c r="D393" s="180"/>
      <c r="E393" s="67"/>
      <c r="F393" s="71" t="s">
        <v>22</v>
      </c>
      <c r="G393" s="71"/>
      <c r="H393" s="72" t="s">
        <v>22</v>
      </c>
      <c r="J393" s="71" t="s">
        <v>22</v>
      </c>
      <c r="K393" s="72"/>
      <c r="L393" s="72" t="s">
        <v>22</v>
      </c>
      <c r="N393" s="182"/>
      <c r="O393" s="184"/>
    </row>
    <row r="394" spans="2:15" x14ac:dyDescent="0.3">
      <c r="B394" s="73" t="s">
        <v>23</v>
      </c>
      <c r="C394" s="73"/>
      <c r="D394" s="7" t="s">
        <v>24</v>
      </c>
      <c r="E394" s="73"/>
      <c r="F394" s="129">
        <v>13.11</v>
      </c>
      <c r="G394" s="74">
        <v>1</v>
      </c>
      <c r="H394" s="75">
        <f t="shared" ref="H394:H409" si="67">G394*F394</f>
        <v>13.11</v>
      </c>
      <c r="I394" s="76"/>
      <c r="J394" s="129">
        <v>14.42</v>
      </c>
      <c r="K394" s="77">
        <v>1</v>
      </c>
      <c r="L394" s="75">
        <f t="shared" ref="L394:L409" si="68">K394*J394</f>
        <v>14.42</v>
      </c>
      <c r="M394" s="76"/>
      <c r="N394" s="78">
        <f t="shared" ref="N394:N430" si="69">L394-H394</f>
        <v>1.3100000000000005</v>
      </c>
      <c r="O394" s="79">
        <f t="shared" ref="O394:O416" si="70">IF((H394)=0,"",(N394/H394))</f>
        <v>9.9923722349351679E-2</v>
      </c>
    </row>
    <row r="395" spans="2:15" x14ac:dyDescent="0.3">
      <c r="B395" s="73" t="s">
        <v>25</v>
      </c>
      <c r="C395" s="73"/>
      <c r="D395" s="7" t="s">
        <v>24</v>
      </c>
      <c r="E395" s="73"/>
      <c r="F395" s="133">
        <v>2.4900000000000002</v>
      </c>
      <c r="G395" s="74">
        <v>1</v>
      </c>
      <c r="H395" s="136">
        <f t="shared" si="67"/>
        <v>2.4900000000000002</v>
      </c>
      <c r="I395" s="76"/>
      <c r="J395" s="130"/>
      <c r="K395" s="77">
        <v>1</v>
      </c>
      <c r="L395" s="136">
        <f t="shared" si="68"/>
        <v>0</v>
      </c>
      <c r="M395" s="76"/>
      <c r="N395" s="137">
        <f t="shared" si="69"/>
        <v>-2.4900000000000002</v>
      </c>
      <c r="O395" s="79">
        <f t="shared" si="70"/>
        <v>-1</v>
      </c>
    </row>
    <row r="396" spans="2:15" x14ac:dyDescent="0.3">
      <c r="B396" s="9"/>
      <c r="C396" s="73"/>
      <c r="D396" s="7"/>
      <c r="E396" s="73"/>
      <c r="F396" s="134"/>
      <c r="G396" s="74">
        <v>1</v>
      </c>
      <c r="H396" s="136">
        <f t="shared" si="67"/>
        <v>0</v>
      </c>
      <c r="I396" s="76"/>
      <c r="J396" s="131"/>
      <c r="K396" s="77">
        <v>1</v>
      </c>
      <c r="L396" s="136">
        <f t="shared" si="68"/>
        <v>0</v>
      </c>
      <c r="M396" s="76"/>
      <c r="N396" s="137">
        <f t="shared" si="69"/>
        <v>0</v>
      </c>
      <c r="O396" s="79" t="str">
        <f t="shared" si="70"/>
        <v/>
      </c>
    </row>
    <row r="397" spans="2:15" x14ac:dyDescent="0.3">
      <c r="B397" s="9"/>
      <c r="C397" s="73"/>
      <c r="D397" s="7"/>
      <c r="E397" s="73"/>
      <c r="F397" s="134"/>
      <c r="G397" s="74">
        <v>1</v>
      </c>
      <c r="H397" s="136">
        <f t="shared" si="67"/>
        <v>0</v>
      </c>
      <c r="I397" s="76"/>
      <c r="J397" s="131"/>
      <c r="K397" s="77">
        <v>1</v>
      </c>
      <c r="L397" s="136">
        <f t="shared" si="68"/>
        <v>0</v>
      </c>
      <c r="M397" s="76"/>
      <c r="N397" s="137">
        <f t="shared" si="69"/>
        <v>0</v>
      </c>
      <c r="O397" s="79" t="str">
        <f t="shared" si="70"/>
        <v/>
      </c>
    </row>
    <row r="398" spans="2:15" x14ac:dyDescent="0.3">
      <c r="B398" s="10"/>
      <c r="C398" s="73"/>
      <c r="D398" s="7"/>
      <c r="E398" s="73"/>
      <c r="F398" s="134"/>
      <c r="G398" s="74">
        <v>1</v>
      </c>
      <c r="H398" s="136">
        <f t="shared" si="67"/>
        <v>0</v>
      </c>
      <c r="I398" s="76"/>
      <c r="J398" s="131"/>
      <c r="K398" s="77">
        <v>1</v>
      </c>
      <c r="L398" s="136">
        <f t="shared" si="68"/>
        <v>0</v>
      </c>
      <c r="M398" s="76"/>
      <c r="N398" s="137">
        <f t="shared" si="69"/>
        <v>0</v>
      </c>
      <c r="O398" s="79" t="str">
        <f t="shared" si="70"/>
        <v/>
      </c>
    </row>
    <row r="399" spans="2:15" x14ac:dyDescent="0.3">
      <c r="B399" s="10"/>
      <c r="C399" s="73"/>
      <c r="D399" s="7"/>
      <c r="E399" s="73"/>
      <c r="F399" s="134"/>
      <c r="G399" s="74">
        <v>1</v>
      </c>
      <c r="H399" s="136">
        <f t="shared" si="67"/>
        <v>0</v>
      </c>
      <c r="I399" s="76"/>
      <c r="J399" s="131"/>
      <c r="K399" s="77">
        <v>1</v>
      </c>
      <c r="L399" s="136">
        <f t="shared" si="68"/>
        <v>0</v>
      </c>
      <c r="M399" s="76"/>
      <c r="N399" s="137">
        <f t="shared" si="69"/>
        <v>0</v>
      </c>
      <c r="O399" s="79" t="str">
        <f t="shared" si="70"/>
        <v/>
      </c>
    </row>
    <row r="400" spans="2:15" x14ac:dyDescent="0.3">
      <c r="B400" s="73" t="s">
        <v>26</v>
      </c>
      <c r="C400" s="73"/>
      <c r="D400" s="7" t="s">
        <v>27</v>
      </c>
      <c r="E400" s="73"/>
      <c r="F400" s="135">
        <v>1.43E-2</v>
      </c>
      <c r="G400" s="74">
        <f>$F$389</f>
        <v>1500</v>
      </c>
      <c r="H400" s="136">
        <f t="shared" si="67"/>
        <v>21.45</v>
      </c>
      <c r="I400" s="76"/>
      <c r="J400" s="132">
        <v>1.5699999999999999E-2</v>
      </c>
      <c r="K400" s="74">
        <f>$F$389</f>
        <v>1500</v>
      </c>
      <c r="L400" s="136">
        <f t="shared" si="68"/>
        <v>23.549999999999997</v>
      </c>
      <c r="M400" s="76"/>
      <c r="N400" s="137">
        <f t="shared" si="69"/>
        <v>2.0999999999999979</v>
      </c>
      <c r="O400" s="79">
        <f t="shared" si="70"/>
        <v>9.7902097902097807E-2</v>
      </c>
    </row>
    <row r="401" spans="1:63" x14ac:dyDescent="0.3">
      <c r="B401" s="73" t="s">
        <v>28</v>
      </c>
      <c r="C401" s="73"/>
      <c r="D401" s="7" t="s">
        <v>24</v>
      </c>
      <c r="E401" s="73"/>
      <c r="F401" s="135">
        <v>-0.03</v>
      </c>
      <c r="G401" s="74">
        <v>1</v>
      </c>
      <c r="H401" s="136">
        <f t="shared" si="67"/>
        <v>-0.03</v>
      </c>
      <c r="I401" s="76"/>
      <c r="J401" s="132"/>
      <c r="K401" s="74">
        <v>1</v>
      </c>
      <c r="L401" s="136">
        <f t="shared" si="68"/>
        <v>0</v>
      </c>
      <c r="M401" s="76"/>
      <c r="N401" s="137">
        <f t="shared" si="69"/>
        <v>0.03</v>
      </c>
      <c r="O401" s="79">
        <f t="shared" si="70"/>
        <v>-1</v>
      </c>
    </row>
    <row r="402" spans="1:63" x14ac:dyDescent="0.3">
      <c r="B402" s="73" t="s">
        <v>29</v>
      </c>
      <c r="C402" s="73"/>
      <c r="D402" s="7" t="s">
        <v>27</v>
      </c>
      <c r="E402" s="73"/>
      <c r="F402" s="135">
        <v>2.9999999999999997E-4</v>
      </c>
      <c r="G402" s="74">
        <f t="shared" ref="G402:G404" si="71">$F$389</f>
        <v>1500</v>
      </c>
      <c r="H402" s="136">
        <f t="shared" si="67"/>
        <v>0.44999999999999996</v>
      </c>
      <c r="I402" s="76"/>
      <c r="J402" s="171">
        <v>0</v>
      </c>
      <c r="K402" s="74">
        <f t="shared" ref="K402:K404" si="72">$F$389</f>
        <v>1500</v>
      </c>
      <c r="L402" s="136">
        <f t="shared" si="68"/>
        <v>0</v>
      </c>
      <c r="M402" s="76"/>
      <c r="N402" s="137">
        <f t="shared" si="69"/>
        <v>-0.44999999999999996</v>
      </c>
      <c r="O402" s="79">
        <f t="shared" si="70"/>
        <v>-1</v>
      </c>
    </row>
    <row r="403" spans="1:63" x14ac:dyDescent="0.3">
      <c r="B403" s="11" t="s">
        <v>30</v>
      </c>
      <c r="C403" s="73"/>
      <c r="D403" s="7" t="s">
        <v>27</v>
      </c>
      <c r="E403" s="73"/>
      <c r="F403" s="135">
        <v>1.8E-3</v>
      </c>
      <c r="G403" s="74">
        <f t="shared" si="71"/>
        <v>1500</v>
      </c>
      <c r="H403" s="136">
        <f t="shared" si="67"/>
        <v>2.6999999999999997</v>
      </c>
      <c r="I403" s="76"/>
      <c r="J403" s="132"/>
      <c r="K403" s="74">
        <f t="shared" si="72"/>
        <v>1500</v>
      </c>
      <c r="L403" s="136">
        <f t="shared" si="68"/>
        <v>0</v>
      </c>
      <c r="M403" s="76"/>
      <c r="N403" s="137">
        <f t="shared" si="69"/>
        <v>-2.6999999999999997</v>
      </c>
      <c r="O403" s="79">
        <f t="shared" si="70"/>
        <v>-1</v>
      </c>
    </row>
    <row r="404" spans="1:63" x14ac:dyDescent="0.3">
      <c r="B404" s="11" t="s">
        <v>31</v>
      </c>
      <c r="C404" s="73"/>
      <c r="D404" s="7" t="s">
        <v>27</v>
      </c>
      <c r="E404" s="73"/>
      <c r="F404" s="135">
        <v>-2.9999999999999997E-4</v>
      </c>
      <c r="G404" s="74">
        <f t="shared" si="71"/>
        <v>1500</v>
      </c>
      <c r="H404" s="136">
        <f t="shared" si="67"/>
        <v>-0.44999999999999996</v>
      </c>
      <c r="I404" s="76"/>
      <c r="J404" s="132"/>
      <c r="K404" s="74">
        <f t="shared" si="72"/>
        <v>1500</v>
      </c>
      <c r="L404" s="136">
        <f t="shared" si="68"/>
        <v>0</v>
      </c>
      <c r="M404" s="76"/>
      <c r="N404" s="137">
        <f t="shared" si="69"/>
        <v>0.44999999999999996</v>
      </c>
      <c r="O404" s="79">
        <f t="shared" si="70"/>
        <v>-1</v>
      </c>
    </row>
    <row r="405" spans="1:63" x14ac:dyDescent="0.3">
      <c r="B405" s="11" t="s">
        <v>32</v>
      </c>
      <c r="C405" s="73"/>
      <c r="D405" s="7" t="s">
        <v>24</v>
      </c>
      <c r="E405" s="73"/>
      <c r="F405" s="135">
        <v>0</v>
      </c>
      <c r="G405" s="74">
        <v>1</v>
      </c>
      <c r="H405" s="136">
        <f t="shared" si="67"/>
        <v>0</v>
      </c>
      <c r="I405" s="76"/>
      <c r="J405" s="132">
        <v>0.77</v>
      </c>
      <c r="K405" s="74">
        <v>1</v>
      </c>
      <c r="L405" s="136">
        <f t="shared" si="68"/>
        <v>0.77</v>
      </c>
      <c r="M405" s="76"/>
      <c r="N405" s="137">
        <f t="shared" si="69"/>
        <v>0.77</v>
      </c>
      <c r="O405" s="79" t="str">
        <f t="shared" si="70"/>
        <v/>
      </c>
    </row>
    <row r="406" spans="1:63" x14ac:dyDescent="0.3">
      <c r="B406" s="12" t="str">
        <f>+$B$35</f>
        <v>Rate Rider for Disposition of Account 1576</v>
      </c>
      <c r="C406" s="73"/>
      <c r="D406" s="7" t="s">
        <v>27</v>
      </c>
      <c r="E406" s="73"/>
      <c r="F406" s="134"/>
      <c r="G406" s="74">
        <f t="shared" ref="G406:G409" si="73">$F$389</f>
        <v>1500</v>
      </c>
      <c r="H406" s="136">
        <f t="shared" si="67"/>
        <v>0</v>
      </c>
      <c r="I406" s="76"/>
      <c r="J406" s="132">
        <v>-5.9999999999999995E-4</v>
      </c>
      <c r="K406" s="74">
        <f t="shared" ref="K406:K409" si="74">$F$389</f>
        <v>1500</v>
      </c>
      <c r="L406" s="136">
        <f t="shared" si="68"/>
        <v>-0.89999999999999991</v>
      </c>
      <c r="M406" s="76"/>
      <c r="N406" s="137">
        <f t="shared" si="69"/>
        <v>-0.89999999999999991</v>
      </c>
      <c r="O406" s="79" t="str">
        <f t="shared" si="70"/>
        <v/>
      </c>
    </row>
    <row r="407" spans="1:63" x14ac:dyDescent="0.3">
      <c r="B407" s="12" t="str">
        <f>+$B$36</f>
        <v xml:space="preserve">Rate Rider for Disposition of CGAAP CWIP differential </v>
      </c>
      <c r="C407" s="73"/>
      <c r="D407" s="7" t="s">
        <v>27</v>
      </c>
      <c r="E407" s="73"/>
      <c r="F407" s="134"/>
      <c r="G407" s="74">
        <f t="shared" si="73"/>
        <v>1500</v>
      </c>
      <c r="H407" s="136">
        <f t="shared" si="67"/>
        <v>0</v>
      </c>
      <c r="I407" s="76"/>
      <c r="J407" s="132">
        <v>2.9999999999999997E-4</v>
      </c>
      <c r="K407" s="74">
        <f t="shared" si="74"/>
        <v>1500</v>
      </c>
      <c r="L407" s="136">
        <f t="shared" si="68"/>
        <v>0.44999999999999996</v>
      </c>
      <c r="M407" s="76"/>
      <c r="N407" s="137">
        <f t="shared" si="69"/>
        <v>0.44999999999999996</v>
      </c>
      <c r="O407" s="79" t="str">
        <f t="shared" si="70"/>
        <v/>
      </c>
    </row>
    <row r="408" spans="1:63" x14ac:dyDescent="0.3">
      <c r="B408" s="12" t="str">
        <f>+$B$37</f>
        <v xml:space="preserve">Rate Rider for Disposition of Incremental Capital Expenditures </v>
      </c>
      <c r="C408" s="73"/>
      <c r="D408" s="7" t="s">
        <v>27</v>
      </c>
      <c r="E408" s="73"/>
      <c r="F408" s="131"/>
      <c r="G408" s="74">
        <f t="shared" si="73"/>
        <v>1500</v>
      </c>
      <c r="H408" s="136">
        <f t="shared" si="67"/>
        <v>0</v>
      </c>
      <c r="I408" s="76"/>
      <c r="J408" s="132">
        <v>2.0000000000000001E-4</v>
      </c>
      <c r="K408" s="74">
        <f t="shared" si="74"/>
        <v>1500</v>
      </c>
      <c r="L408" s="136">
        <f t="shared" si="68"/>
        <v>0.3</v>
      </c>
      <c r="M408" s="76"/>
      <c r="N408" s="137">
        <f t="shared" si="69"/>
        <v>0.3</v>
      </c>
      <c r="O408" s="79" t="str">
        <f t="shared" si="70"/>
        <v/>
      </c>
    </row>
    <row r="409" spans="1:63" x14ac:dyDescent="0.3">
      <c r="B409" s="12"/>
      <c r="C409" s="73"/>
      <c r="D409" s="7"/>
      <c r="E409" s="73"/>
      <c r="F409" s="131"/>
      <c r="G409" s="74">
        <f t="shared" si="73"/>
        <v>1500</v>
      </c>
      <c r="H409" s="136">
        <f t="shared" si="67"/>
        <v>0</v>
      </c>
      <c r="I409" s="76"/>
      <c r="J409" s="131"/>
      <c r="K409" s="74">
        <f t="shared" si="74"/>
        <v>1500</v>
      </c>
      <c r="L409" s="136">
        <f t="shared" si="68"/>
        <v>0</v>
      </c>
      <c r="M409" s="76"/>
      <c r="N409" s="137">
        <f t="shared" si="69"/>
        <v>0</v>
      </c>
      <c r="O409" s="79" t="str">
        <f t="shared" si="70"/>
        <v/>
      </c>
    </row>
    <row r="410" spans="1:63" s="4" customFormat="1" x14ac:dyDescent="0.3">
      <c r="A410" s="60"/>
      <c r="B410" s="19" t="s">
        <v>33</v>
      </c>
      <c r="C410" s="20"/>
      <c r="D410" s="20"/>
      <c r="E410" s="20"/>
      <c r="F410" s="21"/>
      <c r="G410" s="22"/>
      <c r="H410" s="23">
        <f>SUM(H394:H409)</f>
        <v>39.72</v>
      </c>
      <c r="I410" s="13"/>
      <c r="J410" s="14"/>
      <c r="K410" s="24"/>
      <c r="L410" s="23">
        <f>SUM(L394:L409)</f>
        <v>38.590000000000003</v>
      </c>
      <c r="M410" s="13"/>
      <c r="N410" s="15">
        <f t="shared" si="69"/>
        <v>-1.1299999999999955</v>
      </c>
      <c r="O410" s="16">
        <f t="shared" si="70"/>
        <v>-2.844914400805628E-2</v>
      </c>
      <c r="P410" s="60"/>
      <c r="Q410" s="126"/>
      <c r="R410" s="126"/>
      <c r="S410" s="126"/>
      <c r="T410" s="126"/>
      <c r="U410" s="126"/>
      <c r="V410" s="126"/>
      <c r="W410" s="126"/>
      <c r="X410" s="126"/>
      <c r="Y410" s="126"/>
      <c r="Z410" s="126"/>
      <c r="AA410" s="126"/>
      <c r="AB410" s="126"/>
      <c r="AC410" s="126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  <c r="AU410" s="60"/>
      <c r="AV410" s="60"/>
      <c r="AW410" s="60"/>
      <c r="AX410" s="60"/>
      <c r="AY410" s="60"/>
      <c r="AZ410" s="60"/>
      <c r="BA410" s="60"/>
      <c r="BB410" s="60"/>
      <c r="BC410" s="60"/>
      <c r="BD410" s="60"/>
      <c r="BE410" s="60"/>
      <c r="BF410" s="60"/>
      <c r="BG410" s="60"/>
      <c r="BH410" s="60"/>
      <c r="BI410" s="60"/>
      <c r="BJ410" s="60"/>
      <c r="BK410" s="60"/>
    </row>
    <row r="411" spans="1:63" x14ac:dyDescent="0.3">
      <c r="B411" s="17" t="s">
        <v>34</v>
      </c>
      <c r="C411" s="73"/>
      <c r="D411" s="7" t="s">
        <v>27</v>
      </c>
      <c r="E411" s="73"/>
      <c r="F411" s="135">
        <v>2.9999999999999997E-4</v>
      </c>
      <c r="G411" s="74">
        <f>$F$389</f>
        <v>1500</v>
      </c>
      <c r="H411" s="136">
        <f t="shared" ref="H411:H417" si="75">G411*F411</f>
        <v>0.44999999999999996</v>
      </c>
      <c r="I411" s="76"/>
      <c r="J411" s="135">
        <v>-5.0000000000000001E-4</v>
      </c>
      <c r="K411" s="74">
        <f>$F$389</f>
        <v>1500</v>
      </c>
      <c r="L411" s="136">
        <f t="shared" ref="L411:L417" si="76">K411*J411</f>
        <v>-0.75</v>
      </c>
      <c r="M411" s="76"/>
      <c r="N411" s="137">
        <f t="shared" si="69"/>
        <v>-1.2</v>
      </c>
      <c r="O411" s="79">
        <f t="shared" si="70"/>
        <v>-2.666666666666667</v>
      </c>
    </row>
    <row r="412" spans="1:63" x14ac:dyDescent="0.3">
      <c r="B412" s="17"/>
      <c r="C412" s="73"/>
      <c r="D412" s="7"/>
      <c r="E412" s="73"/>
      <c r="F412" s="8"/>
      <c r="G412" s="74">
        <f t="shared" ref="G412:G415" si="77">$F$389</f>
        <v>1500</v>
      </c>
      <c r="H412" s="136">
        <f t="shared" si="75"/>
        <v>0</v>
      </c>
      <c r="I412" s="82"/>
      <c r="J412" s="8"/>
      <c r="K412" s="74">
        <f t="shared" ref="K412:K415" si="78">$F$389</f>
        <v>1500</v>
      </c>
      <c r="L412" s="136">
        <f t="shared" si="76"/>
        <v>0</v>
      </c>
      <c r="M412" s="83"/>
      <c r="N412" s="137">
        <f t="shared" si="69"/>
        <v>0</v>
      </c>
      <c r="O412" s="79" t="str">
        <f t="shared" si="70"/>
        <v/>
      </c>
    </row>
    <row r="413" spans="1:63" x14ac:dyDescent="0.3">
      <c r="B413" s="17"/>
      <c r="C413" s="73"/>
      <c r="D413" s="7"/>
      <c r="E413" s="73"/>
      <c r="F413" s="8"/>
      <c r="G413" s="74">
        <f t="shared" si="77"/>
        <v>1500</v>
      </c>
      <c r="H413" s="136">
        <f t="shared" si="75"/>
        <v>0</v>
      </c>
      <c r="I413" s="82"/>
      <c r="J413" s="8"/>
      <c r="K413" s="74">
        <f t="shared" si="78"/>
        <v>1500</v>
      </c>
      <c r="L413" s="136">
        <f t="shared" si="76"/>
        <v>0</v>
      </c>
      <c r="M413" s="83"/>
      <c r="N413" s="137">
        <f t="shared" si="69"/>
        <v>0</v>
      </c>
      <c r="O413" s="79" t="str">
        <f t="shared" si="70"/>
        <v/>
      </c>
    </row>
    <row r="414" spans="1:63" x14ac:dyDescent="0.3">
      <c r="B414" s="17"/>
      <c r="C414" s="73"/>
      <c r="D414" s="7"/>
      <c r="E414" s="73"/>
      <c r="F414" s="8"/>
      <c r="G414" s="74">
        <f t="shared" si="77"/>
        <v>1500</v>
      </c>
      <c r="H414" s="136">
        <f t="shared" si="75"/>
        <v>0</v>
      </c>
      <c r="I414" s="82"/>
      <c r="J414" s="8"/>
      <c r="K414" s="74">
        <f t="shared" si="78"/>
        <v>1500</v>
      </c>
      <c r="L414" s="136">
        <f t="shared" si="76"/>
        <v>0</v>
      </c>
      <c r="M414" s="83"/>
      <c r="N414" s="137">
        <f t="shared" si="69"/>
        <v>0</v>
      </c>
      <c r="O414" s="79" t="str">
        <f t="shared" si="70"/>
        <v/>
      </c>
    </row>
    <row r="415" spans="1:63" x14ac:dyDescent="0.3">
      <c r="B415" s="80" t="s">
        <v>35</v>
      </c>
      <c r="C415" s="73"/>
      <c r="D415" s="7" t="s">
        <v>27</v>
      </c>
      <c r="E415" s="73"/>
      <c r="F415" s="135">
        <v>2.0000000000000001E-4</v>
      </c>
      <c r="G415" s="74">
        <f t="shared" si="77"/>
        <v>1500</v>
      </c>
      <c r="H415" s="136">
        <f t="shared" si="75"/>
        <v>0.3</v>
      </c>
      <c r="I415" s="76"/>
      <c r="J415" s="135">
        <v>4.0000000000000002E-4</v>
      </c>
      <c r="K415" s="74">
        <f t="shared" si="78"/>
        <v>1500</v>
      </c>
      <c r="L415" s="136">
        <f t="shared" si="76"/>
        <v>0.6</v>
      </c>
      <c r="M415" s="76"/>
      <c r="N415" s="137">
        <f t="shared" si="69"/>
        <v>0.3</v>
      </c>
      <c r="O415" s="79">
        <f t="shared" si="70"/>
        <v>1</v>
      </c>
    </row>
    <row r="416" spans="1:63" x14ac:dyDescent="0.3">
      <c r="B416" s="80" t="s">
        <v>36</v>
      </c>
      <c r="C416" s="73"/>
      <c r="D416" s="7" t="s">
        <v>27</v>
      </c>
      <c r="E416" s="73"/>
      <c r="F416" s="138">
        <f>IF(ISBLANK(D387)=TRUE, 0, IF(D387="TOU", 0.64*$F426+0.18*$F427+0.18*$F428, IF(AND(D387="non-TOU", G430&gt;0), F430,F429)))</f>
        <v>8.3919999999999995E-2</v>
      </c>
      <c r="G416" s="18">
        <f>$F$389*(1+$F$445)-$F$389</f>
        <v>56.550000000000182</v>
      </c>
      <c r="H416" s="136">
        <f t="shared" si="75"/>
        <v>4.7456760000000147</v>
      </c>
      <c r="I416" s="76"/>
      <c r="J416" s="138">
        <f>0.64*$F426+0.18*$F427+0.18*$F428</f>
        <v>8.3919999999999995E-2</v>
      </c>
      <c r="K416" s="18">
        <f>$F$389*(1+$J$445)-$F$389</f>
        <v>56.400000000000091</v>
      </c>
      <c r="L416" s="136">
        <f t="shared" si="76"/>
        <v>4.7330880000000075</v>
      </c>
      <c r="M416" s="76"/>
      <c r="N416" s="137">
        <f t="shared" si="69"/>
        <v>-1.2588000000007149E-2</v>
      </c>
      <c r="O416" s="79">
        <f t="shared" si="70"/>
        <v>-2.6525198939007025E-3</v>
      </c>
    </row>
    <row r="417" spans="1:63" x14ac:dyDescent="0.3">
      <c r="B417" s="80" t="s">
        <v>37</v>
      </c>
      <c r="C417" s="73"/>
      <c r="D417" s="7" t="s">
        <v>24</v>
      </c>
      <c r="E417" s="73"/>
      <c r="F417" s="138">
        <v>0.79</v>
      </c>
      <c r="G417" s="74">
        <v>1</v>
      </c>
      <c r="H417" s="136">
        <f t="shared" si="75"/>
        <v>0.79</v>
      </c>
      <c r="I417" s="76"/>
      <c r="J417" s="138">
        <v>0.79</v>
      </c>
      <c r="K417" s="81">
        <v>1</v>
      </c>
      <c r="L417" s="136">
        <f t="shared" si="76"/>
        <v>0.79</v>
      </c>
      <c r="M417" s="76"/>
      <c r="N417" s="137">
        <f t="shared" si="69"/>
        <v>0</v>
      </c>
      <c r="O417" s="79"/>
    </row>
    <row r="418" spans="1:63" s="4" customFormat="1" x14ac:dyDescent="0.3">
      <c r="A418" s="60"/>
      <c r="B418" s="19" t="s">
        <v>38</v>
      </c>
      <c r="C418" s="20"/>
      <c r="D418" s="20"/>
      <c r="E418" s="20"/>
      <c r="F418" s="21"/>
      <c r="G418" s="22"/>
      <c r="H418" s="23">
        <f>SUM(H411:H417)+H410</f>
        <v>46.005676000000015</v>
      </c>
      <c r="I418" s="13"/>
      <c r="J418" s="22"/>
      <c r="K418" s="24"/>
      <c r="L418" s="23">
        <f>SUM(L411:L417)+L410</f>
        <v>43.963088000000013</v>
      </c>
      <c r="M418" s="13"/>
      <c r="N418" s="15">
        <f t="shared" si="69"/>
        <v>-2.0425880000000021</v>
      </c>
      <c r="O418" s="16">
        <f t="shared" ref="O418:O430" si="79">IF((H418)=0,"",(N418/H418))</f>
        <v>-4.4398608554301028E-2</v>
      </c>
      <c r="P418" s="60"/>
      <c r="Q418" s="126"/>
      <c r="R418" s="126"/>
      <c r="S418" s="126"/>
      <c r="T418" s="126"/>
      <c r="U418" s="126"/>
      <c r="V418" s="126"/>
      <c r="W418" s="126"/>
      <c r="X418" s="126"/>
      <c r="Y418" s="126"/>
      <c r="Z418" s="126"/>
      <c r="AA418" s="126"/>
      <c r="AB418" s="126"/>
      <c r="AC418" s="126"/>
      <c r="AD418" s="60"/>
      <c r="AE418" s="60"/>
      <c r="AF418" s="60"/>
      <c r="AG418" s="60"/>
      <c r="AH418" s="60"/>
      <c r="AI418" s="60"/>
      <c r="AJ418" s="60"/>
      <c r="AK418" s="60"/>
      <c r="AL418" s="60"/>
      <c r="AM418" s="60"/>
      <c r="AN418" s="60"/>
      <c r="AO418" s="60"/>
      <c r="AP418" s="60"/>
      <c r="AQ418" s="60"/>
      <c r="AR418" s="60"/>
      <c r="AS418" s="60"/>
      <c r="AT418" s="60"/>
      <c r="AU418" s="60"/>
      <c r="AV418" s="60"/>
      <c r="AW418" s="60"/>
      <c r="AX418" s="60"/>
      <c r="AY418" s="60"/>
      <c r="AZ418" s="60"/>
      <c r="BA418" s="60"/>
      <c r="BB418" s="60"/>
      <c r="BC418" s="60"/>
      <c r="BD418" s="60"/>
      <c r="BE418" s="60"/>
      <c r="BF418" s="60"/>
      <c r="BG418" s="60"/>
      <c r="BH418" s="60"/>
      <c r="BI418" s="60"/>
      <c r="BJ418" s="60"/>
      <c r="BK418" s="60"/>
    </row>
    <row r="419" spans="1:63" x14ac:dyDescent="0.3">
      <c r="B419" s="76" t="s">
        <v>39</v>
      </c>
      <c r="C419" s="76"/>
      <c r="D419" s="25" t="s">
        <v>27</v>
      </c>
      <c r="E419" s="76"/>
      <c r="F419" s="135">
        <v>8.0000000000000002E-3</v>
      </c>
      <c r="G419" s="18">
        <f>F389*(1+F445)</f>
        <v>1556.5500000000002</v>
      </c>
      <c r="H419" s="136">
        <f>G419*F419</f>
        <v>12.452400000000003</v>
      </c>
      <c r="I419" s="76"/>
      <c r="J419" s="135">
        <f>+$J$48</f>
        <v>7.9000000000000008E-3</v>
      </c>
      <c r="K419" s="18">
        <f>F389*(1+J445)</f>
        <v>1556.4</v>
      </c>
      <c r="L419" s="136">
        <f>K419*J419</f>
        <v>12.295560000000002</v>
      </c>
      <c r="M419" s="76"/>
      <c r="N419" s="136">
        <f t="shared" si="69"/>
        <v>-0.15684000000000076</v>
      </c>
      <c r="O419" s="79">
        <f t="shared" si="79"/>
        <v>-1.2595162378336765E-2</v>
      </c>
    </row>
    <row r="420" spans="1:63" x14ac:dyDescent="0.3">
      <c r="B420" s="85" t="s">
        <v>40</v>
      </c>
      <c r="C420" s="76"/>
      <c r="D420" s="25" t="s">
        <v>27</v>
      </c>
      <c r="E420" s="76"/>
      <c r="F420" s="135">
        <v>5.4999999999999997E-3</v>
      </c>
      <c r="G420" s="18">
        <f>G419</f>
        <v>1556.5500000000002</v>
      </c>
      <c r="H420" s="136">
        <f>G420*F420</f>
        <v>8.5610250000000008</v>
      </c>
      <c r="I420" s="76"/>
      <c r="J420" s="135">
        <f>+$J$49</f>
        <v>5.3E-3</v>
      </c>
      <c r="K420" s="18">
        <f>K419</f>
        <v>1556.4</v>
      </c>
      <c r="L420" s="136">
        <f>K420*J420</f>
        <v>8.24892</v>
      </c>
      <c r="M420" s="76"/>
      <c r="N420" s="136">
        <f t="shared" si="69"/>
        <v>-0.31210500000000074</v>
      </c>
      <c r="O420" s="79">
        <f t="shared" si="79"/>
        <v>-3.6456499075753282E-2</v>
      </c>
    </row>
    <row r="421" spans="1:63" s="4" customFormat="1" x14ac:dyDescent="0.3">
      <c r="A421" s="60"/>
      <c r="B421" s="19" t="s">
        <v>41</v>
      </c>
      <c r="C421" s="20"/>
      <c r="D421" s="20"/>
      <c r="E421" s="20"/>
      <c r="F421" s="21"/>
      <c r="G421" s="22"/>
      <c r="H421" s="23">
        <f>SUM(H418:H420)</f>
        <v>67.01910100000002</v>
      </c>
      <c r="I421" s="13"/>
      <c r="J421" s="26"/>
      <c r="K421" s="22"/>
      <c r="L421" s="23">
        <f>SUM(L418:L420)</f>
        <v>64.50756800000002</v>
      </c>
      <c r="M421" s="13"/>
      <c r="N421" s="15">
        <f t="shared" si="69"/>
        <v>-2.511533</v>
      </c>
      <c r="O421" s="16">
        <f t="shared" si="79"/>
        <v>-3.747488346643145E-2</v>
      </c>
      <c r="P421" s="60"/>
      <c r="Q421" s="126"/>
      <c r="R421" s="126"/>
      <c r="S421" s="126"/>
      <c r="T421" s="126"/>
      <c r="U421" s="126"/>
      <c r="V421" s="126"/>
      <c r="W421" s="126"/>
      <c r="X421" s="126"/>
      <c r="Y421" s="126"/>
      <c r="Z421" s="126"/>
      <c r="AA421" s="126"/>
      <c r="AB421" s="126"/>
      <c r="AC421" s="126"/>
      <c r="AD421" s="60"/>
      <c r="AE421" s="60"/>
      <c r="AF421" s="60"/>
      <c r="AG421" s="60"/>
      <c r="AH421" s="60"/>
      <c r="AI421" s="60"/>
      <c r="AJ421" s="60"/>
      <c r="AK421" s="60"/>
      <c r="AL421" s="60"/>
      <c r="AM421" s="60"/>
      <c r="AN421" s="60"/>
      <c r="AO421" s="60"/>
      <c r="AP421" s="60"/>
      <c r="AQ421" s="60"/>
      <c r="AR421" s="60"/>
      <c r="AS421" s="60"/>
      <c r="AT421" s="60"/>
      <c r="AU421" s="60"/>
      <c r="AV421" s="60"/>
      <c r="AW421" s="60"/>
      <c r="AX421" s="60"/>
      <c r="AY421" s="60"/>
      <c r="AZ421" s="60"/>
      <c r="BA421" s="60"/>
      <c r="BB421" s="60"/>
      <c r="BC421" s="60"/>
      <c r="BD421" s="60"/>
      <c r="BE421" s="60"/>
      <c r="BF421" s="60"/>
      <c r="BG421" s="60"/>
      <c r="BH421" s="60"/>
      <c r="BI421" s="60"/>
      <c r="BJ421" s="60"/>
      <c r="BK421" s="60"/>
    </row>
    <row r="422" spans="1:63" x14ac:dyDescent="0.3">
      <c r="B422" s="86" t="s">
        <v>42</v>
      </c>
      <c r="C422" s="73"/>
      <c r="D422" s="7" t="s">
        <v>27</v>
      </c>
      <c r="E422" s="73"/>
      <c r="F422" s="135">
        <v>4.4000000000000003E-3</v>
      </c>
      <c r="G422" s="18">
        <f>G420</f>
        <v>1556.5500000000002</v>
      </c>
      <c r="H422" s="139">
        <f t="shared" ref="H422:H430" si="80">G422*F422</f>
        <v>6.8488200000000008</v>
      </c>
      <c r="I422" s="76"/>
      <c r="J422" s="135">
        <v>4.4000000000000003E-3</v>
      </c>
      <c r="K422" s="18">
        <f>K420</f>
        <v>1556.4</v>
      </c>
      <c r="L422" s="139">
        <f t="shared" ref="L422:L430" si="81">K422*J422</f>
        <v>6.8481600000000009</v>
      </c>
      <c r="M422" s="76"/>
      <c r="N422" s="137">
        <f t="shared" si="69"/>
        <v>-6.599999999998829E-4</v>
      </c>
      <c r="O422" s="87">
        <f t="shared" si="79"/>
        <v>-9.6366965404242312E-5</v>
      </c>
    </row>
    <row r="423" spans="1:63" x14ac:dyDescent="0.3">
      <c r="B423" s="86" t="s">
        <v>43</v>
      </c>
      <c r="C423" s="73"/>
      <c r="D423" s="7" t="s">
        <v>27</v>
      </c>
      <c r="E423" s="73"/>
      <c r="F423" s="135">
        <v>1.1999999999999999E-3</v>
      </c>
      <c r="G423" s="18">
        <f>G420</f>
        <v>1556.5500000000002</v>
      </c>
      <c r="H423" s="139">
        <f t="shared" si="80"/>
        <v>1.8678600000000001</v>
      </c>
      <c r="I423" s="76"/>
      <c r="J423" s="135">
        <v>1.2999999999999999E-3</v>
      </c>
      <c r="K423" s="18">
        <f>K420</f>
        <v>1556.4</v>
      </c>
      <c r="L423" s="139">
        <f t="shared" si="81"/>
        <v>2.02332</v>
      </c>
      <c r="M423" s="76"/>
      <c r="N423" s="137">
        <f t="shared" si="69"/>
        <v>0.15545999999999993</v>
      </c>
      <c r="O423" s="87">
        <f t="shared" si="79"/>
        <v>8.3228935787478683E-2</v>
      </c>
    </row>
    <row r="424" spans="1:63" x14ac:dyDescent="0.3">
      <c r="B424" s="73" t="s">
        <v>44</v>
      </c>
      <c r="C424" s="73"/>
      <c r="D424" s="7" t="s">
        <v>24</v>
      </c>
      <c r="E424" s="73"/>
      <c r="F424" s="135">
        <v>0.25</v>
      </c>
      <c r="G424" s="81">
        <v>1</v>
      </c>
      <c r="H424" s="139">
        <f t="shared" si="80"/>
        <v>0.25</v>
      </c>
      <c r="I424" s="76"/>
      <c r="J424" s="135">
        <v>0.25</v>
      </c>
      <c r="K424" s="77">
        <v>1</v>
      </c>
      <c r="L424" s="139">
        <f t="shared" si="81"/>
        <v>0.25</v>
      </c>
      <c r="M424" s="76"/>
      <c r="N424" s="137">
        <f t="shared" si="69"/>
        <v>0</v>
      </c>
      <c r="O424" s="87">
        <f t="shared" si="79"/>
        <v>0</v>
      </c>
    </row>
    <row r="425" spans="1:63" x14ac:dyDescent="0.3">
      <c r="B425" s="73" t="s">
        <v>45</v>
      </c>
      <c r="C425" s="73"/>
      <c r="D425" s="7" t="s">
        <v>27</v>
      </c>
      <c r="E425" s="73"/>
      <c r="F425" s="135">
        <v>7.0000000000000001E-3</v>
      </c>
      <c r="G425" s="84">
        <f>F389</f>
        <v>1500</v>
      </c>
      <c r="H425" s="139">
        <f t="shared" si="80"/>
        <v>10.5</v>
      </c>
      <c r="I425" s="76"/>
      <c r="J425" s="135">
        <v>7.0000000000000001E-3</v>
      </c>
      <c r="K425" s="77">
        <f>F389</f>
        <v>1500</v>
      </c>
      <c r="L425" s="139">
        <f t="shared" si="81"/>
        <v>10.5</v>
      </c>
      <c r="M425" s="76"/>
      <c r="N425" s="137">
        <f t="shared" si="69"/>
        <v>0</v>
      </c>
      <c r="O425" s="87">
        <f t="shared" si="79"/>
        <v>0</v>
      </c>
    </row>
    <row r="426" spans="1:63" x14ac:dyDescent="0.3">
      <c r="B426" s="80" t="s">
        <v>46</v>
      </c>
      <c r="C426" s="73"/>
      <c r="D426" s="7" t="s">
        <v>27</v>
      </c>
      <c r="E426" s="73"/>
      <c r="F426" s="138">
        <v>6.7000000000000004E-2</v>
      </c>
      <c r="G426" s="27">
        <f>0.64*$F$389</f>
        <v>960</v>
      </c>
      <c r="H426" s="139">
        <f t="shared" si="80"/>
        <v>64.320000000000007</v>
      </c>
      <c r="I426" s="76"/>
      <c r="J426" s="138">
        <v>6.7000000000000004E-2</v>
      </c>
      <c r="K426" s="28">
        <f>G426</f>
        <v>960</v>
      </c>
      <c r="L426" s="139">
        <f t="shared" si="81"/>
        <v>64.320000000000007</v>
      </c>
      <c r="M426" s="76"/>
      <c r="N426" s="137">
        <f t="shared" si="69"/>
        <v>0</v>
      </c>
      <c r="O426" s="87">
        <f t="shared" si="79"/>
        <v>0</v>
      </c>
      <c r="S426" s="127"/>
    </row>
    <row r="427" spans="1:63" x14ac:dyDescent="0.3">
      <c r="B427" s="80" t="s">
        <v>47</v>
      </c>
      <c r="C427" s="73"/>
      <c r="D427" s="7" t="s">
        <v>27</v>
      </c>
      <c r="E427" s="73"/>
      <c r="F427" s="138">
        <v>0.104</v>
      </c>
      <c r="G427" s="27">
        <f>0.18*$F$389</f>
        <v>270</v>
      </c>
      <c r="H427" s="139">
        <f t="shared" si="80"/>
        <v>28.08</v>
      </c>
      <c r="I427" s="76"/>
      <c r="J427" s="138">
        <v>0.104</v>
      </c>
      <c r="K427" s="28">
        <f>G427</f>
        <v>270</v>
      </c>
      <c r="L427" s="139">
        <f t="shared" si="81"/>
        <v>28.08</v>
      </c>
      <c r="M427" s="76"/>
      <c r="N427" s="137">
        <f t="shared" si="69"/>
        <v>0</v>
      </c>
      <c r="O427" s="87">
        <f t="shared" si="79"/>
        <v>0</v>
      </c>
      <c r="S427" s="127"/>
    </row>
    <row r="428" spans="1:63" x14ac:dyDescent="0.3">
      <c r="B428" s="64" t="s">
        <v>48</v>
      </c>
      <c r="C428" s="73"/>
      <c r="D428" s="7" t="s">
        <v>27</v>
      </c>
      <c r="E428" s="73"/>
      <c r="F428" s="138">
        <v>0.124</v>
      </c>
      <c r="G428" s="27">
        <f>0.18*$F$389</f>
        <v>270</v>
      </c>
      <c r="H428" s="139">
        <f t="shared" si="80"/>
        <v>33.479999999999997</v>
      </c>
      <c r="I428" s="76"/>
      <c r="J428" s="138">
        <v>0.124</v>
      </c>
      <c r="K428" s="28">
        <f>G428</f>
        <v>270</v>
      </c>
      <c r="L428" s="139">
        <f t="shared" si="81"/>
        <v>33.479999999999997</v>
      </c>
      <c r="M428" s="76"/>
      <c r="N428" s="137">
        <f t="shared" si="69"/>
        <v>0</v>
      </c>
      <c r="O428" s="87">
        <f t="shared" si="79"/>
        <v>0</v>
      </c>
      <c r="S428" s="127"/>
    </row>
    <row r="429" spans="1:63" s="92" customFormat="1" x14ac:dyDescent="0.25">
      <c r="B429" s="89" t="s">
        <v>49</v>
      </c>
      <c r="C429" s="90"/>
      <c r="D429" s="29" t="s">
        <v>27</v>
      </c>
      <c r="E429" s="90"/>
      <c r="F429" s="138">
        <v>7.4999999999999997E-2</v>
      </c>
      <c r="G429" s="30">
        <f>IF(AND($T$1=1, F389&gt;=600), 600, IF(AND($T$1=1, AND(F389&lt;600, F389&gt;=0)), F389, IF(AND($T$1=2, F389&gt;=1000), 1000, IF(AND($T$1=2, AND(F389&lt;1000, F389&gt;=0)), F389))))</f>
        <v>600</v>
      </c>
      <c r="H429" s="139">
        <f t="shared" si="80"/>
        <v>45</v>
      </c>
      <c r="I429" s="91"/>
      <c r="J429" s="138">
        <v>7.4999999999999997E-2</v>
      </c>
      <c r="K429" s="31">
        <f>G429</f>
        <v>600</v>
      </c>
      <c r="L429" s="139">
        <f t="shared" si="81"/>
        <v>45</v>
      </c>
      <c r="M429" s="91"/>
      <c r="N429" s="140">
        <f t="shared" si="69"/>
        <v>0</v>
      </c>
      <c r="O429" s="87">
        <f t="shared" si="79"/>
        <v>0</v>
      </c>
      <c r="Q429" s="128"/>
      <c r="R429" s="128"/>
      <c r="S429" s="128"/>
      <c r="T429" s="128"/>
      <c r="U429" s="128"/>
      <c r="V429" s="128"/>
      <c r="W429" s="128"/>
      <c r="X429" s="128"/>
      <c r="Y429" s="128"/>
      <c r="Z429" s="128"/>
      <c r="AA429" s="128"/>
      <c r="AB429" s="128"/>
      <c r="AC429" s="128"/>
    </row>
    <row r="430" spans="1:63" s="92" customFormat="1" ht="15" thickBot="1" x14ac:dyDescent="0.3">
      <c r="B430" s="89" t="s">
        <v>50</v>
      </c>
      <c r="C430" s="90"/>
      <c r="D430" s="29" t="s">
        <v>27</v>
      </c>
      <c r="E430" s="90"/>
      <c r="F430" s="138">
        <v>8.7999999999999995E-2</v>
      </c>
      <c r="G430" s="30">
        <f>IF(AND($T$1=1, F389&gt;=600), F389-600, IF(AND($T$1=1, AND(F389&lt;600, F389&gt;=0)), 0, IF(AND($T$1=2, F389&gt;=1000), F389-1000, IF(AND($T$1=2, AND(F389&lt;1000, F389&gt;=0)), 0))))</f>
        <v>900</v>
      </c>
      <c r="H430" s="139">
        <f t="shared" si="80"/>
        <v>79.199999999999989</v>
      </c>
      <c r="I430" s="91"/>
      <c r="J430" s="138">
        <v>8.7999999999999995E-2</v>
      </c>
      <c r="K430" s="31">
        <f>G430</f>
        <v>900</v>
      </c>
      <c r="L430" s="139">
        <f t="shared" si="81"/>
        <v>79.199999999999989</v>
      </c>
      <c r="M430" s="91"/>
      <c r="N430" s="140">
        <f t="shared" si="69"/>
        <v>0</v>
      </c>
      <c r="O430" s="87">
        <f t="shared" si="79"/>
        <v>0</v>
      </c>
      <c r="Q430" s="128"/>
      <c r="R430" s="128"/>
      <c r="S430" s="128"/>
      <c r="T430" s="128"/>
      <c r="U430" s="128"/>
      <c r="V430" s="128"/>
      <c r="W430" s="128"/>
      <c r="X430" s="128"/>
      <c r="Y430" s="128"/>
      <c r="Z430" s="128"/>
      <c r="AA430" s="128"/>
      <c r="AB430" s="128"/>
      <c r="AC430" s="128"/>
    </row>
    <row r="431" spans="1:63" s="4" customFormat="1" ht="15" thickBot="1" x14ac:dyDescent="0.35">
      <c r="A431" s="60"/>
      <c r="B431" s="32"/>
      <c r="C431" s="33"/>
      <c r="D431" s="124"/>
      <c r="E431" s="33"/>
      <c r="F431" s="35"/>
      <c r="G431" s="36"/>
      <c r="H431" s="122"/>
      <c r="I431" s="123"/>
      <c r="J431" s="35"/>
      <c r="K431" s="39"/>
      <c r="L431" s="122"/>
      <c r="M431" s="123"/>
      <c r="N431" s="40"/>
      <c r="O431" s="41"/>
      <c r="P431" s="60"/>
      <c r="Q431" s="126"/>
      <c r="R431" s="126"/>
      <c r="S431" s="126"/>
      <c r="T431" s="126"/>
      <c r="U431" s="126"/>
      <c r="V431" s="126"/>
      <c r="W431" s="126"/>
      <c r="X431" s="126"/>
      <c r="Y431" s="126"/>
      <c r="Z431" s="126"/>
      <c r="AA431" s="126"/>
      <c r="AB431" s="126"/>
      <c r="AC431" s="126"/>
      <c r="AD431" s="60"/>
      <c r="AE431" s="60"/>
      <c r="AF431" s="60"/>
      <c r="AG431" s="60"/>
      <c r="AH431" s="60"/>
      <c r="AI431" s="60"/>
      <c r="AJ431" s="60"/>
      <c r="AK431" s="60"/>
      <c r="AL431" s="60"/>
      <c r="AM431" s="60"/>
      <c r="AN431" s="60"/>
      <c r="AO431" s="60"/>
      <c r="AP431" s="60"/>
      <c r="AQ431" s="60"/>
      <c r="AR431" s="60"/>
      <c r="AS431" s="60"/>
      <c r="AT431" s="60"/>
      <c r="AU431" s="60"/>
      <c r="AV431" s="60"/>
      <c r="AW431" s="60"/>
      <c r="AX431" s="60"/>
      <c r="AY431" s="60"/>
      <c r="AZ431" s="60"/>
      <c r="BA431" s="60"/>
      <c r="BB431" s="60"/>
      <c r="BC431" s="60"/>
      <c r="BD431" s="60"/>
      <c r="BE431" s="60"/>
      <c r="BF431" s="60"/>
      <c r="BG431" s="60"/>
      <c r="BH431" s="60"/>
      <c r="BI431" s="60"/>
      <c r="BJ431" s="60"/>
      <c r="BK431" s="60"/>
    </row>
    <row r="432" spans="1:63" x14ac:dyDescent="0.3">
      <c r="B432" s="93" t="s">
        <v>51</v>
      </c>
      <c r="C432" s="73"/>
      <c r="D432" s="73"/>
      <c r="E432" s="73"/>
      <c r="F432" s="94"/>
      <c r="G432" s="95"/>
      <c r="H432" s="141">
        <f>SUM(H422:H428,H421)</f>
        <v>212.36578100000003</v>
      </c>
      <c r="I432" s="96"/>
      <c r="J432" s="97"/>
      <c r="K432" s="97"/>
      <c r="L432" s="144">
        <f>SUM(L422:L428,L421)</f>
        <v>210.00904800000004</v>
      </c>
      <c r="M432" s="145"/>
      <c r="N432" s="146">
        <f>L432-H432</f>
        <v>-2.3567329999999913</v>
      </c>
      <c r="O432" s="98">
        <f>IF((H432)=0,"",(N432/H432))</f>
        <v>-1.1097517636327629E-2</v>
      </c>
      <c r="S432" s="127"/>
    </row>
    <row r="433" spans="1:63" x14ac:dyDescent="0.3">
      <c r="B433" s="99" t="s">
        <v>52</v>
      </c>
      <c r="C433" s="73"/>
      <c r="D433" s="73"/>
      <c r="E433" s="73"/>
      <c r="F433" s="100">
        <v>0.13</v>
      </c>
      <c r="G433" s="101"/>
      <c r="H433" s="142">
        <f>H432*F433</f>
        <v>27.607551530000006</v>
      </c>
      <c r="I433" s="102"/>
      <c r="J433" s="103">
        <v>0.13</v>
      </c>
      <c r="K433" s="102"/>
      <c r="L433" s="147">
        <f>L432*J433</f>
        <v>27.301176240000007</v>
      </c>
      <c r="M433" s="148"/>
      <c r="N433" s="149">
        <f>L433-H433</f>
        <v>-0.3063752899999983</v>
      </c>
      <c r="O433" s="104">
        <f>IF((H433)=0,"",(N433/H433))</f>
        <v>-1.1097517636327608E-2</v>
      </c>
      <c r="S433" s="127"/>
    </row>
    <row r="434" spans="1:63" x14ac:dyDescent="0.3">
      <c r="B434" s="105" t="s">
        <v>53</v>
      </c>
      <c r="C434" s="73"/>
      <c r="D434" s="73"/>
      <c r="E434" s="73"/>
      <c r="F434" s="106"/>
      <c r="G434" s="101"/>
      <c r="H434" s="142">
        <f>H432+H433</f>
        <v>239.97333253000002</v>
      </c>
      <c r="I434" s="102"/>
      <c r="J434" s="102"/>
      <c r="K434" s="102"/>
      <c r="L434" s="147">
        <f>L432+L433</f>
        <v>237.31022424000005</v>
      </c>
      <c r="M434" s="148"/>
      <c r="N434" s="149">
        <f>L434-H434</f>
        <v>-2.6631082899999683</v>
      </c>
      <c r="O434" s="104">
        <f>IF((H434)=0,"",(N434/H434))</f>
        <v>-1.1097517636327539E-2</v>
      </c>
      <c r="S434" s="127"/>
    </row>
    <row r="435" spans="1:63" ht="14.4" customHeight="1" x14ac:dyDescent="0.3">
      <c r="B435" s="172" t="s">
        <v>54</v>
      </c>
      <c r="C435" s="172"/>
      <c r="D435" s="172"/>
      <c r="E435" s="73"/>
      <c r="F435" s="106"/>
      <c r="G435" s="101"/>
      <c r="H435" s="143">
        <f>ROUND(-H434*10%,2)</f>
        <v>-24</v>
      </c>
      <c r="I435" s="102"/>
      <c r="J435" s="102"/>
      <c r="K435" s="102"/>
      <c r="L435" s="150">
        <f>ROUND(-L434*10%,2)</f>
        <v>-23.73</v>
      </c>
      <c r="M435" s="148"/>
      <c r="N435" s="151">
        <f>L435-H435</f>
        <v>0.26999999999999957</v>
      </c>
      <c r="O435" s="107">
        <f>IF((H435)=0,"",(N435/H435))</f>
        <v>-1.1249999999999982E-2</v>
      </c>
    </row>
    <row r="436" spans="1:63" s="4" customFormat="1" ht="15" thickBot="1" x14ac:dyDescent="0.35">
      <c r="A436" s="60"/>
      <c r="B436" s="173" t="s">
        <v>55</v>
      </c>
      <c r="C436" s="173"/>
      <c r="D436" s="173"/>
      <c r="E436" s="42"/>
      <c r="F436" s="43"/>
      <c r="G436" s="44"/>
      <c r="H436" s="45">
        <f>H434+H435</f>
        <v>215.97333253000002</v>
      </c>
      <c r="I436" s="46"/>
      <c r="J436" s="46"/>
      <c r="K436" s="46"/>
      <c r="L436" s="47">
        <f>L434+L435</f>
        <v>213.58022424000006</v>
      </c>
      <c r="M436" s="48"/>
      <c r="N436" s="49">
        <f>L436-H436</f>
        <v>-2.3931082899999581</v>
      </c>
      <c r="O436" s="50">
        <f>IF((H436)=0,"",(N436/H436))</f>
        <v>-1.108057305948891E-2</v>
      </c>
      <c r="P436" s="60"/>
      <c r="Q436" s="126"/>
      <c r="R436" s="126"/>
      <c r="S436" s="126"/>
      <c r="T436" s="126"/>
      <c r="U436" s="126"/>
      <c r="V436" s="126"/>
      <c r="W436" s="126"/>
      <c r="X436" s="126"/>
      <c r="Y436" s="126"/>
      <c r="Z436" s="126"/>
      <c r="AA436" s="126"/>
      <c r="AB436" s="126"/>
      <c r="AC436" s="126"/>
      <c r="AD436" s="60"/>
      <c r="AE436" s="60"/>
      <c r="AF436" s="60"/>
      <c r="AG436" s="60"/>
      <c r="AH436" s="60"/>
      <c r="AI436" s="60"/>
      <c r="AJ436" s="60"/>
      <c r="AK436" s="60"/>
      <c r="AL436" s="60"/>
      <c r="AM436" s="60"/>
      <c r="AN436" s="60"/>
      <c r="AO436" s="60"/>
      <c r="AP436" s="60"/>
      <c r="AQ436" s="60"/>
      <c r="AR436" s="60"/>
      <c r="AS436" s="60"/>
      <c r="AT436" s="60"/>
      <c r="AU436" s="60"/>
      <c r="AV436" s="60"/>
      <c r="AW436" s="60"/>
      <c r="AX436" s="60"/>
      <c r="AY436" s="60"/>
      <c r="AZ436" s="60"/>
      <c r="BA436" s="60"/>
      <c r="BB436" s="60"/>
      <c r="BC436" s="60"/>
      <c r="BD436" s="60"/>
      <c r="BE436" s="60"/>
      <c r="BF436" s="60"/>
      <c r="BG436" s="60"/>
      <c r="BH436" s="60"/>
      <c r="BI436" s="60"/>
      <c r="BJ436" s="60"/>
      <c r="BK436" s="60"/>
    </row>
    <row r="437" spans="1:63" s="4" customFormat="1" ht="15" thickBot="1" x14ac:dyDescent="0.35">
      <c r="A437" s="60"/>
      <c r="B437" s="32"/>
      <c r="C437" s="33"/>
      <c r="D437" s="34"/>
      <c r="E437" s="33"/>
      <c r="F437" s="35"/>
      <c r="G437" s="36"/>
      <c r="H437" s="37"/>
      <c r="I437" s="38"/>
      <c r="J437" s="35"/>
      <c r="K437" s="39"/>
      <c r="L437" s="37"/>
      <c r="M437" s="123"/>
      <c r="N437" s="40"/>
      <c r="O437" s="41"/>
      <c r="P437" s="60"/>
      <c r="Q437" s="126"/>
      <c r="R437" s="126"/>
      <c r="S437" s="126"/>
      <c r="T437" s="126"/>
      <c r="U437" s="126"/>
      <c r="V437" s="126"/>
      <c r="W437" s="126"/>
      <c r="X437" s="126"/>
      <c r="Y437" s="126"/>
      <c r="Z437" s="126"/>
      <c r="AA437" s="126"/>
      <c r="AB437" s="126"/>
      <c r="AC437" s="126"/>
      <c r="AD437" s="60"/>
      <c r="AE437" s="60"/>
      <c r="AF437" s="60"/>
      <c r="AG437" s="60"/>
      <c r="AH437" s="60"/>
      <c r="AI437" s="60"/>
      <c r="AJ437" s="60"/>
      <c r="AK437" s="60"/>
      <c r="AL437" s="60"/>
      <c r="AM437" s="60"/>
      <c r="AN437" s="60"/>
      <c r="AO437" s="60"/>
      <c r="AP437" s="60"/>
      <c r="AQ437" s="60"/>
      <c r="AR437" s="60"/>
      <c r="AS437" s="60"/>
      <c r="AT437" s="60"/>
      <c r="AU437" s="60"/>
      <c r="AV437" s="60"/>
      <c r="AW437" s="60"/>
      <c r="AX437" s="60"/>
      <c r="AY437" s="60"/>
      <c r="AZ437" s="60"/>
      <c r="BA437" s="60"/>
      <c r="BB437" s="60"/>
      <c r="BC437" s="60"/>
      <c r="BD437" s="60"/>
      <c r="BE437" s="60"/>
      <c r="BF437" s="60"/>
      <c r="BG437" s="60"/>
      <c r="BH437" s="60"/>
      <c r="BI437" s="60"/>
      <c r="BJ437" s="60"/>
      <c r="BK437" s="60"/>
    </row>
    <row r="438" spans="1:63" s="92" customFormat="1" ht="13.2" x14ac:dyDescent="0.25">
      <c r="B438" s="108" t="s">
        <v>56</v>
      </c>
      <c r="C438" s="90"/>
      <c r="D438" s="90"/>
      <c r="E438" s="90"/>
      <c r="F438" s="109"/>
      <c r="G438" s="110"/>
      <c r="H438" s="152">
        <f>SUM(H429:H430,H421,H422:H425)</f>
        <v>210.68578100000002</v>
      </c>
      <c r="I438" s="111"/>
      <c r="J438" s="112"/>
      <c r="K438" s="112"/>
      <c r="L438" s="155">
        <f>SUM(L429:L430,L421,L422:L425)</f>
        <v>208.32904800000003</v>
      </c>
      <c r="M438" s="156"/>
      <c r="N438" s="157">
        <f>L438-H438</f>
        <v>-2.3567329999999913</v>
      </c>
      <c r="O438" s="98">
        <f>IF((H438)=0,"",(N438/H438))</f>
        <v>-1.1186008798571893E-2</v>
      </c>
      <c r="Q438" s="128"/>
      <c r="R438" s="128"/>
      <c r="S438" s="128"/>
      <c r="T438" s="128"/>
      <c r="U438" s="128"/>
      <c r="V438" s="128"/>
      <c r="W438" s="128"/>
      <c r="X438" s="128"/>
      <c r="Y438" s="128"/>
      <c r="Z438" s="128"/>
      <c r="AA438" s="128"/>
      <c r="AB438" s="128"/>
      <c r="AC438" s="128"/>
    </row>
    <row r="439" spans="1:63" s="92" customFormat="1" ht="13.2" x14ac:dyDescent="0.25">
      <c r="B439" s="113" t="s">
        <v>52</v>
      </c>
      <c r="C439" s="90"/>
      <c r="D439" s="90"/>
      <c r="E439" s="90"/>
      <c r="F439" s="114">
        <v>0.13</v>
      </c>
      <c r="G439" s="110"/>
      <c r="H439" s="153">
        <f>H438*F439</f>
        <v>27.389151530000003</v>
      </c>
      <c r="I439" s="115"/>
      <c r="J439" s="116">
        <v>0.13</v>
      </c>
      <c r="K439" s="117"/>
      <c r="L439" s="158">
        <f>L438*J439</f>
        <v>27.082776240000005</v>
      </c>
      <c r="M439" s="159"/>
      <c r="N439" s="160">
        <f>L439-H439</f>
        <v>-0.3063752899999983</v>
      </c>
      <c r="O439" s="104">
        <f>IF((H439)=0,"",(N439/H439))</f>
        <v>-1.1186008798571873E-2</v>
      </c>
      <c r="Q439" s="128"/>
      <c r="R439" s="128"/>
      <c r="S439" s="128"/>
      <c r="T439" s="128"/>
      <c r="U439" s="128"/>
      <c r="V439" s="128"/>
      <c r="W439" s="128"/>
      <c r="X439" s="128"/>
      <c r="Y439" s="128"/>
      <c r="Z439" s="128"/>
      <c r="AA439" s="128"/>
      <c r="AB439" s="128"/>
      <c r="AC439" s="128"/>
    </row>
    <row r="440" spans="1:63" s="92" customFormat="1" ht="13.2" x14ac:dyDescent="0.25">
      <c r="B440" s="118" t="s">
        <v>53</v>
      </c>
      <c r="C440" s="90"/>
      <c r="D440" s="90"/>
      <c r="E440" s="90"/>
      <c r="F440" s="119"/>
      <c r="G440" s="120"/>
      <c r="H440" s="153">
        <f>H438+H439</f>
        <v>238.07493253000001</v>
      </c>
      <c r="I440" s="115"/>
      <c r="J440" s="115"/>
      <c r="K440" s="115"/>
      <c r="L440" s="158">
        <f>L438+L439</f>
        <v>235.41182424000004</v>
      </c>
      <c r="M440" s="159"/>
      <c r="N440" s="160">
        <f>L440-H440</f>
        <v>-2.6631082899999683</v>
      </c>
      <c r="O440" s="104">
        <f>IF((H440)=0,"",(N440/H440))</f>
        <v>-1.1186008798571801E-2</v>
      </c>
      <c r="Q440" s="128"/>
      <c r="R440" s="128"/>
      <c r="S440" s="128"/>
      <c r="T440" s="128"/>
      <c r="U440" s="128"/>
      <c r="V440" s="128"/>
      <c r="W440" s="128"/>
      <c r="X440" s="128"/>
      <c r="Y440" s="128"/>
      <c r="Z440" s="128"/>
      <c r="AA440" s="128"/>
      <c r="AB440" s="128"/>
      <c r="AC440" s="128"/>
    </row>
    <row r="441" spans="1:63" s="92" customFormat="1" ht="13.2" customHeight="1" x14ac:dyDescent="0.25">
      <c r="B441" s="174" t="s">
        <v>54</v>
      </c>
      <c r="C441" s="174"/>
      <c r="D441" s="174"/>
      <c r="E441" s="90"/>
      <c r="F441" s="119"/>
      <c r="G441" s="120"/>
      <c r="H441" s="154">
        <f>ROUND(-H440*10%,2)</f>
        <v>-23.81</v>
      </c>
      <c r="I441" s="115"/>
      <c r="J441" s="115"/>
      <c r="K441" s="115"/>
      <c r="L441" s="161">
        <f>ROUND(-L440*10%,2)</f>
        <v>-23.54</v>
      </c>
      <c r="M441" s="159"/>
      <c r="N441" s="162">
        <f>L441-H441</f>
        <v>0.26999999999999957</v>
      </c>
      <c r="O441" s="107">
        <f>IF((H441)=0,"",(N441/H441))</f>
        <v>-1.1339773204535893E-2</v>
      </c>
      <c r="Q441" s="128"/>
      <c r="R441" s="128"/>
      <c r="S441" s="128"/>
      <c r="T441" s="128"/>
      <c r="U441" s="128"/>
      <c r="V441" s="128"/>
      <c r="W441" s="128"/>
      <c r="X441" s="128"/>
      <c r="Y441" s="128"/>
      <c r="Z441" s="128"/>
      <c r="AA441" s="128"/>
      <c r="AB441" s="128"/>
      <c r="AC441" s="128"/>
    </row>
    <row r="442" spans="1:63" s="4" customFormat="1" ht="15" thickBot="1" x14ac:dyDescent="0.35">
      <c r="A442" s="60"/>
      <c r="B442" s="173" t="s">
        <v>57</v>
      </c>
      <c r="C442" s="173"/>
      <c r="D442" s="173"/>
      <c r="E442" s="42"/>
      <c r="F442" s="43"/>
      <c r="G442" s="44"/>
      <c r="H442" s="45">
        <f>SUM(H440:H441)</f>
        <v>214.26493253000001</v>
      </c>
      <c r="I442" s="46"/>
      <c r="J442" s="46"/>
      <c r="K442" s="46"/>
      <c r="L442" s="47">
        <f>SUM(L440:L441)</f>
        <v>211.87182424000005</v>
      </c>
      <c r="M442" s="48"/>
      <c r="N442" s="49">
        <f>L442-H442</f>
        <v>-2.3931082899999581</v>
      </c>
      <c r="O442" s="50">
        <f>IF((H442)=0,"",(N442/H442))</f>
        <v>-1.1168921865760233E-2</v>
      </c>
      <c r="P442" s="60"/>
      <c r="Q442" s="126"/>
      <c r="R442" s="126"/>
      <c r="S442" s="126"/>
      <c r="T442" s="126"/>
      <c r="U442" s="126"/>
      <c r="V442" s="126"/>
      <c r="W442" s="126"/>
      <c r="X442" s="126"/>
      <c r="Y442" s="126"/>
      <c r="Z442" s="126"/>
      <c r="AA442" s="126"/>
      <c r="AB442" s="126"/>
      <c r="AC442" s="126"/>
      <c r="AD442" s="60"/>
      <c r="AE442" s="60"/>
      <c r="AF442" s="60"/>
      <c r="AG442" s="60"/>
      <c r="AH442" s="60"/>
      <c r="AI442" s="60"/>
      <c r="AJ442" s="60"/>
      <c r="AK442" s="60"/>
      <c r="AL442" s="60"/>
      <c r="AM442" s="60"/>
      <c r="AN442" s="60"/>
      <c r="AO442" s="60"/>
      <c r="AP442" s="60"/>
      <c r="AQ442" s="60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0"/>
      <c r="BD442" s="60"/>
      <c r="BE442" s="60"/>
      <c r="BF442" s="60"/>
      <c r="BG442" s="60"/>
      <c r="BH442" s="60"/>
      <c r="BI442" s="60"/>
      <c r="BJ442" s="60"/>
      <c r="BK442" s="60"/>
    </row>
    <row r="443" spans="1:63" s="4" customFormat="1" ht="15" thickBot="1" x14ac:dyDescent="0.35">
      <c r="A443" s="60"/>
      <c r="B443" s="32"/>
      <c r="C443" s="33"/>
      <c r="D443" s="34"/>
      <c r="E443" s="33"/>
      <c r="F443" s="35"/>
      <c r="G443" s="36"/>
      <c r="H443" s="122"/>
      <c r="I443" s="123"/>
      <c r="J443" s="35"/>
      <c r="K443" s="39"/>
      <c r="L443" s="37"/>
      <c r="M443" s="123"/>
      <c r="N443" s="40"/>
      <c r="O443" s="41"/>
      <c r="P443" s="60"/>
      <c r="Q443" s="126"/>
      <c r="R443" s="126"/>
      <c r="S443" s="126"/>
      <c r="T443" s="126"/>
      <c r="U443" s="126"/>
      <c r="V443" s="126"/>
      <c r="W443" s="126"/>
      <c r="X443" s="126"/>
      <c r="Y443" s="126"/>
      <c r="Z443" s="126"/>
      <c r="AA443" s="126"/>
      <c r="AB443" s="126"/>
      <c r="AC443" s="126"/>
      <c r="AD443" s="60"/>
      <c r="AE443" s="60"/>
      <c r="AF443" s="60"/>
      <c r="AG443" s="60"/>
      <c r="AH443" s="60"/>
      <c r="AI443" s="60"/>
      <c r="AJ443" s="60"/>
      <c r="AK443" s="60"/>
      <c r="AL443" s="60"/>
      <c r="AM443" s="60"/>
      <c r="AN443" s="60"/>
      <c r="AO443" s="60"/>
      <c r="AP443" s="60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0"/>
      <c r="BD443" s="60"/>
      <c r="BE443" s="60"/>
      <c r="BF443" s="60"/>
      <c r="BG443" s="60"/>
      <c r="BH443" s="60"/>
      <c r="BI443" s="60"/>
      <c r="BJ443" s="60"/>
      <c r="BK443" s="60"/>
    </row>
    <row r="444" spans="1:63" x14ac:dyDescent="0.3">
      <c r="L444" s="88"/>
    </row>
    <row r="445" spans="1:63" x14ac:dyDescent="0.3">
      <c r="B445" s="65" t="s">
        <v>58</v>
      </c>
      <c r="F445" s="51">
        <v>3.7699999999999997E-2</v>
      </c>
      <c r="J445" s="51">
        <f>+$J$74</f>
        <v>3.7600000000000001E-2</v>
      </c>
    </row>
    <row r="447" spans="1:63" x14ac:dyDescent="0.3">
      <c r="L447" s="56"/>
      <c r="M447" s="56"/>
      <c r="N447" s="56"/>
      <c r="O447" s="56"/>
      <c r="P447" s="56"/>
    </row>
    <row r="448" spans="1:63" ht="16.2" x14ac:dyDescent="0.3">
      <c r="A448" s="121" t="s">
        <v>59</v>
      </c>
    </row>
    <row r="450" spans="1:29" x14ac:dyDescent="0.3">
      <c r="A450" s="60" t="s">
        <v>60</v>
      </c>
    </row>
    <row r="451" spans="1:29" x14ac:dyDescent="0.3">
      <c r="A451" s="60" t="s">
        <v>61</v>
      </c>
    </row>
    <row r="453" spans="1:29" x14ac:dyDescent="0.3">
      <c r="B453" s="60" t="s">
        <v>62</v>
      </c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</row>
    <row r="455" spans="1:29" ht="18.75" customHeight="1" x14ac:dyDescent="0.3">
      <c r="B455" s="175" t="s">
        <v>6</v>
      </c>
      <c r="C455" s="175"/>
      <c r="D455" s="175"/>
      <c r="E455" s="175"/>
      <c r="F455" s="175"/>
      <c r="G455" s="175"/>
      <c r="H455" s="175"/>
      <c r="I455" s="175"/>
      <c r="J455" s="175"/>
      <c r="K455" s="175"/>
      <c r="L455" s="175"/>
      <c r="M455" s="175"/>
      <c r="N455" s="175"/>
      <c r="O455" s="175"/>
      <c r="P455" s="56"/>
    </row>
    <row r="456" spans="1:29" ht="18.75" customHeight="1" x14ac:dyDescent="0.3">
      <c r="B456" s="175" t="s">
        <v>7</v>
      </c>
      <c r="C456" s="175"/>
      <c r="D456" s="175"/>
      <c r="E456" s="175"/>
      <c r="F456" s="175"/>
      <c r="G456" s="175"/>
      <c r="H456" s="175"/>
      <c r="I456" s="175"/>
      <c r="J456" s="175"/>
      <c r="K456" s="175"/>
      <c r="L456" s="175"/>
      <c r="M456" s="175"/>
      <c r="N456" s="175"/>
      <c r="O456" s="175"/>
      <c r="P456" s="56"/>
    </row>
    <row r="457" spans="1:29" ht="7.5" customHeight="1" x14ac:dyDescent="0.3">
      <c r="L457" s="56"/>
      <c r="M457" s="56"/>
      <c r="N457" s="56"/>
      <c r="O457" s="56"/>
      <c r="P457" s="56"/>
    </row>
    <row r="458" spans="1:29" ht="7.5" customHeight="1" x14ac:dyDescent="0.3">
      <c r="L458" s="56"/>
      <c r="M458" s="56"/>
      <c r="N458" s="56"/>
      <c r="O458" s="56"/>
      <c r="P458" s="56"/>
    </row>
    <row r="459" spans="1:29" ht="15.6" x14ac:dyDescent="0.3">
      <c r="B459" s="61" t="s">
        <v>8</v>
      </c>
      <c r="D459" s="185" t="s">
        <v>66</v>
      </c>
      <c r="E459" s="185"/>
      <c r="F459" s="185"/>
      <c r="G459" s="185"/>
      <c r="H459" s="185"/>
      <c r="I459" s="185"/>
      <c r="J459" s="185"/>
      <c r="K459" s="185"/>
      <c r="L459" s="185"/>
      <c r="M459" s="185"/>
      <c r="N459" s="185"/>
      <c r="O459" s="185"/>
    </row>
    <row r="460" spans="1:29" ht="7.5" customHeight="1" x14ac:dyDescent="0.3">
      <c r="B460" s="62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</row>
    <row r="461" spans="1:29" ht="15.6" x14ac:dyDescent="0.3">
      <c r="B461" s="61" t="s">
        <v>9</v>
      </c>
      <c r="D461" s="5" t="s">
        <v>10</v>
      </c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</row>
    <row r="462" spans="1:29" ht="15.6" x14ac:dyDescent="0.3">
      <c r="B462" s="62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</row>
    <row r="463" spans="1:29" x14ac:dyDescent="0.3">
      <c r="B463" s="64"/>
      <c r="D463" s="65" t="s">
        <v>11</v>
      </c>
      <c r="E463" s="65"/>
      <c r="F463" s="6">
        <v>2000</v>
      </c>
      <c r="G463" s="65" t="s">
        <v>12</v>
      </c>
    </row>
    <row r="464" spans="1:29" x14ac:dyDescent="0.3">
      <c r="B464" s="64"/>
      <c r="G464" s="65"/>
    </row>
    <row r="465" spans="2:15" x14ac:dyDescent="0.3">
      <c r="B465" s="64"/>
      <c r="D465" s="66"/>
      <c r="E465" s="66"/>
      <c r="F465" s="176" t="s">
        <v>13</v>
      </c>
      <c r="G465" s="177"/>
      <c r="H465" s="178"/>
      <c r="J465" s="176" t="s">
        <v>14</v>
      </c>
      <c r="K465" s="177"/>
      <c r="L465" s="178"/>
      <c r="N465" s="176" t="s">
        <v>15</v>
      </c>
      <c r="O465" s="178"/>
    </row>
    <row r="466" spans="2:15" x14ac:dyDescent="0.3">
      <c r="B466" s="64"/>
      <c r="D466" s="179" t="s">
        <v>16</v>
      </c>
      <c r="E466" s="67"/>
      <c r="F466" s="68" t="s">
        <v>17</v>
      </c>
      <c r="G466" s="68" t="s">
        <v>18</v>
      </c>
      <c r="H466" s="69" t="s">
        <v>19</v>
      </c>
      <c r="J466" s="68" t="s">
        <v>17</v>
      </c>
      <c r="K466" s="70" t="s">
        <v>18</v>
      </c>
      <c r="L466" s="69" t="s">
        <v>19</v>
      </c>
      <c r="N466" s="181" t="s">
        <v>20</v>
      </c>
      <c r="O466" s="183" t="s">
        <v>21</v>
      </c>
    </row>
    <row r="467" spans="2:15" x14ac:dyDescent="0.3">
      <c r="B467" s="64"/>
      <c r="D467" s="180"/>
      <c r="E467" s="67"/>
      <c r="F467" s="71" t="s">
        <v>22</v>
      </c>
      <c r="G467" s="71"/>
      <c r="H467" s="72" t="s">
        <v>22</v>
      </c>
      <c r="J467" s="71" t="s">
        <v>22</v>
      </c>
      <c r="K467" s="72"/>
      <c r="L467" s="72" t="s">
        <v>22</v>
      </c>
      <c r="N467" s="182"/>
      <c r="O467" s="184"/>
    </row>
    <row r="468" spans="2:15" x14ac:dyDescent="0.3">
      <c r="B468" s="73" t="s">
        <v>23</v>
      </c>
      <c r="C468" s="73"/>
      <c r="D468" s="7" t="s">
        <v>24</v>
      </c>
      <c r="E468" s="73"/>
      <c r="F468" s="129">
        <v>13.11</v>
      </c>
      <c r="G468" s="74">
        <v>1</v>
      </c>
      <c r="H468" s="75">
        <f t="shared" ref="H468:H483" si="82">G468*F468</f>
        <v>13.11</v>
      </c>
      <c r="I468" s="76"/>
      <c r="J468" s="129">
        <v>14.42</v>
      </c>
      <c r="K468" s="77">
        <v>1</v>
      </c>
      <c r="L468" s="75">
        <f t="shared" ref="L468:L483" si="83">K468*J468</f>
        <v>14.42</v>
      </c>
      <c r="M468" s="76"/>
      <c r="N468" s="78">
        <f t="shared" ref="N468:N504" si="84">L468-H468</f>
        <v>1.3100000000000005</v>
      </c>
      <c r="O468" s="79">
        <f t="shared" ref="O468:O490" si="85">IF((H468)=0,"",(N468/H468))</f>
        <v>9.9923722349351679E-2</v>
      </c>
    </row>
    <row r="469" spans="2:15" x14ac:dyDescent="0.3">
      <c r="B469" s="73" t="s">
        <v>25</v>
      </c>
      <c r="C469" s="73"/>
      <c r="D469" s="7" t="s">
        <v>24</v>
      </c>
      <c r="E469" s="73"/>
      <c r="F469" s="133">
        <v>2.4900000000000002</v>
      </c>
      <c r="G469" s="74">
        <v>1</v>
      </c>
      <c r="H469" s="136">
        <f t="shared" si="82"/>
        <v>2.4900000000000002</v>
      </c>
      <c r="I469" s="76"/>
      <c r="J469" s="130"/>
      <c r="K469" s="77">
        <v>1</v>
      </c>
      <c r="L469" s="136">
        <f t="shared" si="83"/>
        <v>0</v>
      </c>
      <c r="M469" s="76"/>
      <c r="N469" s="137">
        <f t="shared" si="84"/>
        <v>-2.4900000000000002</v>
      </c>
      <c r="O469" s="79">
        <f t="shared" si="85"/>
        <v>-1</v>
      </c>
    </row>
    <row r="470" spans="2:15" x14ac:dyDescent="0.3">
      <c r="B470" s="9"/>
      <c r="C470" s="73"/>
      <c r="D470" s="7"/>
      <c r="E470" s="73"/>
      <c r="F470" s="134"/>
      <c r="G470" s="74">
        <v>1</v>
      </c>
      <c r="H470" s="136">
        <f t="shared" si="82"/>
        <v>0</v>
      </c>
      <c r="I470" s="76"/>
      <c r="J470" s="131"/>
      <c r="K470" s="77">
        <v>1</v>
      </c>
      <c r="L470" s="136">
        <f t="shared" si="83"/>
        <v>0</v>
      </c>
      <c r="M470" s="76"/>
      <c r="N470" s="137">
        <f t="shared" si="84"/>
        <v>0</v>
      </c>
      <c r="O470" s="79" t="str">
        <f t="shared" si="85"/>
        <v/>
      </c>
    </row>
    <row r="471" spans="2:15" x14ac:dyDescent="0.3">
      <c r="B471" s="9"/>
      <c r="C471" s="73"/>
      <c r="D471" s="7"/>
      <c r="E471" s="73"/>
      <c r="F471" s="134"/>
      <c r="G471" s="74">
        <v>1</v>
      </c>
      <c r="H471" s="136">
        <f t="shared" si="82"/>
        <v>0</v>
      </c>
      <c r="I471" s="76"/>
      <c r="J471" s="131"/>
      <c r="K471" s="77">
        <v>1</v>
      </c>
      <c r="L471" s="136">
        <f t="shared" si="83"/>
        <v>0</v>
      </c>
      <c r="M471" s="76"/>
      <c r="N471" s="137">
        <f t="shared" si="84"/>
        <v>0</v>
      </c>
      <c r="O471" s="79" t="str">
        <f t="shared" si="85"/>
        <v/>
      </c>
    </row>
    <row r="472" spans="2:15" x14ac:dyDescent="0.3">
      <c r="B472" s="10"/>
      <c r="C472" s="73"/>
      <c r="D472" s="7"/>
      <c r="E472" s="73"/>
      <c r="F472" s="134"/>
      <c r="G472" s="74">
        <v>1</v>
      </c>
      <c r="H472" s="136">
        <f t="shared" si="82"/>
        <v>0</v>
      </c>
      <c r="I472" s="76"/>
      <c r="J472" s="131"/>
      <c r="K472" s="77">
        <v>1</v>
      </c>
      <c r="L472" s="136">
        <f t="shared" si="83"/>
        <v>0</v>
      </c>
      <c r="M472" s="76"/>
      <c r="N472" s="137">
        <f t="shared" si="84"/>
        <v>0</v>
      </c>
      <c r="O472" s="79" t="str">
        <f t="shared" si="85"/>
        <v/>
      </c>
    </row>
    <row r="473" spans="2:15" x14ac:dyDescent="0.3">
      <c r="B473" s="10"/>
      <c r="C473" s="73"/>
      <c r="D473" s="7"/>
      <c r="E473" s="73"/>
      <c r="F473" s="134"/>
      <c r="G473" s="74">
        <v>1</v>
      </c>
      <c r="H473" s="136">
        <f t="shared" si="82"/>
        <v>0</v>
      </c>
      <c r="I473" s="76"/>
      <c r="J473" s="131"/>
      <c r="K473" s="77">
        <v>1</v>
      </c>
      <c r="L473" s="136">
        <f t="shared" si="83"/>
        <v>0</v>
      </c>
      <c r="M473" s="76"/>
      <c r="N473" s="137">
        <f t="shared" si="84"/>
        <v>0</v>
      </c>
      <c r="O473" s="79" t="str">
        <f t="shared" si="85"/>
        <v/>
      </c>
    </row>
    <row r="474" spans="2:15" x14ac:dyDescent="0.3">
      <c r="B474" s="73" t="s">
        <v>26</v>
      </c>
      <c r="C474" s="73"/>
      <c r="D474" s="7" t="s">
        <v>27</v>
      </c>
      <c r="E474" s="73"/>
      <c r="F474" s="135">
        <v>1.43E-2</v>
      </c>
      <c r="G474" s="74">
        <f>$F$463</f>
        <v>2000</v>
      </c>
      <c r="H474" s="136">
        <f t="shared" si="82"/>
        <v>28.6</v>
      </c>
      <c r="I474" s="76"/>
      <c r="J474" s="132">
        <v>1.5699999999999999E-2</v>
      </c>
      <c r="K474" s="74">
        <f>$F$463</f>
        <v>2000</v>
      </c>
      <c r="L474" s="136">
        <f t="shared" si="83"/>
        <v>31.4</v>
      </c>
      <c r="M474" s="76"/>
      <c r="N474" s="137">
        <f t="shared" si="84"/>
        <v>2.7999999999999972</v>
      </c>
      <c r="O474" s="79">
        <f t="shared" si="85"/>
        <v>9.7902097902097793E-2</v>
      </c>
    </row>
    <row r="475" spans="2:15" x14ac:dyDescent="0.3">
      <c r="B475" s="73" t="s">
        <v>28</v>
      </c>
      <c r="C475" s="73"/>
      <c r="D475" s="7" t="s">
        <v>24</v>
      </c>
      <c r="E475" s="73"/>
      <c r="F475" s="135">
        <v>-0.03</v>
      </c>
      <c r="G475" s="74">
        <v>1</v>
      </c>
      <c r="H475" s="136">
        <f t="shared" si="82"/>
        <v>-0.03</v>
      </c>
      <c r="I475" s="76"/>
      <c r="J475" s="132"/>
      <c r="K475" s="74">
        <v>1</v>
      </c>
      <c r="L475" s="136">
        <f t="shared" si="83"/>
        <v>0</v>
      </c>
      <c r="M475" s="76"/>
      <c r="N475" s="137">
        <f t="shared" si="84"/>
        <v>0.03</v>
      </c>
      <c r="O475" s="79">
        <f t="shared" si="85"/>
        <v>-1</v>
      </c>
    </row>
    <row r="476" spans="2:15" x14ac:dyDescent="0.3">
      <c r="B476" s="73" t="s">
        <v>29</v>
      </c>
      <c r="C476" s="73"/>
      <c r="D476" s="7" t="s">
        <v>27</v>
      </c>
      <c r="E476" s="73"/>
      <c r="F476" s="135">
        <v>2.9999999999999997E-4</v>
      </c>
      <c r="G476" s="74">
        <f t="shared" ref="G476:G478" si="86">$F$463</f>
        <v>2000</v>
      </c>
      <c r="H476" s="136">
        <f t="shared" si="82"/>
        <v>0.6</v>
      </c>
      <c r="I476" s="76"/>
      <c r="J476" s="171">
        <v>0</v>
      </c>
      <c r="K476" s="74">
        <f t="shared" ref="K476:K478" si="87">$F$463</f>
        <v>2000</v>
      </c>
      <c r="L476" s="136">
        <f t="shared" si="83"/>
        <v>0</v>
      </c>
      <c r="M476" s="76"/>
      <c r="N476" s="137">
        <f t="shared" si="84"/>
        <v>-0.6</v>
      </c>
      <c r="O476" s="79">
        <f t="shared" si="85"/>
        <v>-1</v>
      </c>
    </row>
    <row r="477" spans="2:15" x14ac:dyDescent="0.3">
      <c r="B477" s="11" t="s">
        <v>30</v>
      </c>
      <c r="C477" s="73"/>
      <c r="D477" s="7" t="s">
        <v>27</v>
      </c>
      <c r="E477" s="73"/>
      <c r="F477" s="135">
        <v>1.8E-3</v>
      </c>
      <c r="G477" s="74">
        <f t="shared" si="86"/>
        <v>2000</v>
      </c>
      <c r="H477" s="136">
        <f t="shared" si="82"/>
        <v>3.6</v>
      </c>
      <c r="I477" s="76"/>
      <c r="J477" s="132"/>
      <c r="K477" s="74">
        <f t="shared" si="87"/>
        <v>2000</v>
      </c>
      <c r="L477" s="136">
        <f t="shared" si="83"/>
        <v>0</v>
      </c>
      <c r="M477" s="76"/>
      <c r="N477" s="137">
        <f t="shared" si="84"/>
        <v>-3.6</v>
      </c>
      <c r="O477" s="79">
        <f t="shared" si="85"/>
        <v>-1</v>
      </c>
    </row>
    <row r="478" spans="2:15" x14ac:dyDescent="0.3">
      <c r="B478" s="11" t="s">
        <v>31</v>
      </c>
      <c r="C478" s="73"/>
      <c r="D478" s="7" t="s">
        <v>27</v>
      </c>
      <c r="E478" s="73"/>
      <c r="F478" s="135">
        <v>-2.9999999999999997E-4</v>
      </c>
      <c r="G478" s="74">
        <f t="shared" si="86"/>
        <v>2000</v>
      </c>
      <c r="H478" s="136">
        <f t="shared" si="82"/>
        <v>-0.6</v>
      </c>
      <c r="I478" s="76"/>
      <c r="J478" s="132"/>
      <c r="K478" s="74">
        <f t="shared" si="87"/>
        <v>2000</v>
      </c>
      <c r="L478" s="136">
        <f t="shared" si="83"/>
        <v>0</v>
      </c>
      <c r="M478" s="76"/>
      <c r="N478" s="137">
        <f t="shared" si="84"/>
        <v>0.6</v>
      </c>
      <c r="O478" s="79">
        <f t="shared" si="85"/>
        <v>-1</v>
      </c>
    </row>
    <row r="479" spans="2:15" x14ac:dyDescent="0.3">
      <c r="B479" s="11" t="s">
        <v>32</v>
      </c>
      <c r="C479" s="73"/>
      <c r="D479" s="7" t="s">
        <v>24</v>
      </c>
      <c r="E479" s="73"/>
      <c r="F479" s="135">
        <v>0</v>
      </c>
      <c r="G479" s="74">
        <v>1</v>
      </c>
      <c r="H479" s="136">
        <f t="shared" si="82"/>
        <v>0</v>
      </c>
      <c r="I479" s="76"/>
      <c r="J479" s="132">
        <v>0.77</v>
      </c>
      <c r="K479" s="74">
        <v>1</v>
      </c>
      <c r="L479" s="136">
        <f t="shared" si="83"/>
        <v>0.77</v>
      </c>
      <c r="M479" s="76"/>
      <c r="N479" s="137">
        <f t="shared" si="84"/>
        <v>0.77</v>
      </c>
      <c r="O479" s="79" t="str">
        <f t="shared" si="85"/>
        <v/>
      </c>
    </row>
    <row r="480" spans="2:15" x14ac:dyDescent="0.3">
      <c r="B480" s="12" t="str">
        <f>+$B$35</f>
        <v>Rate Rider for Disposition of Account 1576</v>
      </c>
      <c r="C480" s="73"/>
      <c r="D480" s="7" t="s">
        <v>27</v>
      </c>
      <c r="E480" s="73"/>
      <c r="F480" s="134"/>
      <c r="G480" s="74">
        <f t="shared" ref="G480:G483" si="88">$F$463</f>
        <v>2000</v>
      </c>
      <c r="H480" s="136">
        <f t="shared" si="82"/>
        <v>0</v>
      </c>
      <c r="I480" s="76"/>
      <c r="J480" s="132">
        <v>-5.9999999999999995E-4</v>
      </c>
      <c r="K480" s="74">
        <f t="shared" ref="K480:K483" si="89">$F$463</f>
        <v>2000</v>
      </c>
      <c r="L480" s="136">
        <f t="shared" si="83"/>
        <v>-1.2</v>
      </c>
      <c r="M480" s="76"/>
      <c r="N480" s="137">
        <f t="shared" si="84"/>
        <v>-1.2</v>
      </c>
      <c r="O480" s="79" t="str">
        <f t="shared" si="85"/>
        <v/>
      </c>
    </row>
    <row r="481" spans="1:63" x14ac:dyDescent="0.3">
      <c r="B481" s="12" t="str">
        <f>+$B$36</f>
        <v xml:space="preserve">Rate Rider for Disposition of CGAAP CWIP differential </v>
      </c>
      <c r="C481" s="73"/>
      <c r="D481" s="7" t="s">
        <v>27</v>
      </c>
      <c r="E481" s="73"/>
      <c r="F481" s="134"/>
      <c r="G481" s="74">
        <f t="shared" si="88"/>
        <v>2000</v>
      </c>
      <c r="H481" s="136">
        <f t="shared" si="82"/>
        <v>0</v>
      </c>
      <c r="I481" s="76"/>
      <c r="J481" s="132">
        <v>2.9999999999999997E-4</v>
      </c>
      <c r="K481" s="74">
        <f t="shared" si="89"/>
        <v>2000</v>
      </c>
      <c r="L481" s="136">
        <f t="shared" si="83"/>
        <v>0.6</v>
      </c>
      <c r="M481" s="76"/>
      <c r="N481" s="137">
        <f t="shared" si="84"/>
        <v>0.6</v>
      </c>
      <c r="O481" s="79" t="str">
        <f t="shared" si="85"/>
        <v/>
      </c>
    </row>
    <row r="482" spans="1:63" x14ac:dyDescent="0.3">
      <c r="B482" s="12" t="str">
        <f>+$B$37</f>
        <v xml:space="preserve">Rate Rider for Disposition of Incremental Capital Expenditures </v>
      </c>
      <c r="C482" s="73"/>
      <c r="D482" s="7" t="s">
        <v>27</v>
      </c>
      <c r="E482" s="73"/>
      <c r="F482" s="131"/>
      <c r="G482" s="74">
        <f t="shared" si="88"/>
        <v>2000</v>
      </c>
      <c r="H482" s="136">
        <f t="shared" si="82"/>
        <v>0</v>
      </c>
      <c r="I482" s="76"/>
      <c r="J482" s="132">
        <v>2.0000000000000001E-4</v>
      </c>
      <c r="K482" s="74">
        <f t="shared" si="89"/>
        <v>2000</v>
      </c>
      <c r="L482" s="136">
        <f t="shared" si="83"/>
        <v>0.4</v>
      </c>
      <c r="M482" s="76"/>
      <c r="N482" s="137">
        <f t="shared" si="84"/>
        <v>0.4</v>
      </c>
      <c r="O482" s="79" t="str">
        <f t="shared" si="85"/>
        <v/>
      </c>
    </row>
    <row r="483" spans="1:63" x14ac:dyDescent="0.3">
      <c r="B483" s="12"/>
      <c r="C483" s="73"/>
      <c r="D483" s="7"/>
      <c r="E483" s="73"/>
      <c r="F483" s="131"/>
      <c r="G483" s="74">
        <f t="shared" si="88"/>
        <v>2000</v>
      </c>
      <c r="H483" s="136">
        <f t="shared" si="82"/>
        <v>0</v>
      </c>
      <c r="I483" s="76"/>
      <c r="J483" s="131"/>
      <c r="K483" s="74">
        <f t="shared" si="89"/>
        <v>2000</v>
      </c>
      <c r="L483" s="136">
        <f t="shared" si="83"/>
        <v>0</v>
      </c>
      <c r="M483" s="76"/>
      <c r="N483" s="137">
        <f t="shared" si="84"/>
        <v>0</v>
      </c>
      <c r="O483" s="79" t="str">
        <f t="shared" si="85"/>
        <v/>
      </c>
    </row>
    <row r="484" spans="1:63" s="4" customFormat="1" x14ac:dyDescent="0.3">
      <c r="A484" s="60"/>
      <c r="B484" s="19" t="s">
        <v>33</v>
      </c>
      <c r="C484" s="20"/>
      <c r="D484" s="20"/>
      <c r="E484" s="20"/>
      <c r="F484" s="21"/>
      <c r="G484" s="22"/>
      <c r="H484" s="23">
        <f>SUM(H468:H483)</f>
        <v>47.77</v>
      </c>
      <c r="I484" s="13"/>
      <c r="J484" s="14"/>
      <c r="K484" s="24"/>
      <c r="L484" s="23">
        <f>SUM(L468:L483)</f>
        <v>46.39</v>
      </c>
      <c r="M484" s="13"/>
      <c r="N484" s="15">
        <f t="shared" si="84"/>
        <v>-1.3800000000000026</v>
      </c>
      <c r="O484" s="16">
        <f t="shared" si="85"/>
        <v>-2.8888423696880938E-2</v>
      </c>
      <c r="P484" s="60"/>
      <c r="Q484" s="126"/>
      <c r="R484" s="126"/>
      <c r="S484" s="126"/>
      <c r="T484" s="126"/>
      <c r="U484" s="126"/>
      <c r="V484" s="126"/>
      <c r="W484" s="126"/>
      <c r="X484" s="126"/>
      <c r="Y484" s="126"/>
      <c r="Z484" s="126"/>
      <c r="AA484" s="126"/>
      <c r="AB484" s="126"/>
      <c r="AC484" s="126"/>
      <c r="AD484" s="60"/>
      <c r="AE484" s="60"/>
      <c r="AF484" s="60"/>
      <c r="AG484" s="60"/>
      <c r="AH484" s="60"/>
      <c r="AI484" s="60"/>
      <c r="AJ484" s="60"/>
      <c r="AK484" s="60"/>
      <c r="AL484" s="60"/>
      <c r="AM484" s="60"/>
      <c r="AN484" s="60"/>
      <c r="AO484" s="60"/>
      <c r="AP484" s="60"/>
      <c r="AQ484" s="60"/>
      <c r="AR484" s="60"/>
      <c r="AS484" s="60"/>
      <c r="AT484" s="60"/>
      <c r="AU484" s="60"/>
      <c r="AV484" s="60"/>
      <c r="AW484" s="60"/>
      <c r="AX484" s="60"/>
      <c r="AY484" s="60"/>
      <c r="AZ484" s="60"/>
      <c r="BA484" s="60"/>
      <c r="BB484" s="60"/>
      <c r="BC484" s="60"/>
      <c r="BD484" s="60"/>
      <c r="BE484" s="60"/>
      <c r="BF484" s="60"/>
      <c r="BG484" s="60"/>
      <c r="BH484" s="60"/>
      <c r="BI484" s="60"/>
      <c r="BJ484" s="60"/>
      <c r="BK484" s="60"/>
    </row>
    <row r="485" spans="1:63" x14ac:dyDescent="0.3">
      <c r="B485" s="17" t="s">
        <v>34</v>
      </c>
      <c r="C485" s="73"/>
      <c r="D485" s="7" t="s">
        <v>27</v>
      </c>
      <c r="E485" s="73"/>
      <c r="F485" s="135">
        <v>2.9999999999999997E-4</v>
      </c>
      <c r="G485" s="74">
        <f t="shared" ref="G485:G489" si="90">$F$463</f>
        <v>2000</v>
      </c>
      <c r="H485" s="136">
        <f t="shared" ref="H485:H491" si="91">G485*F485</f>
        <v>0.6</v>
      </c>
      <c r="I485" s="76"/>
      <c r="J485" s="135">
        <v>-5.0000000000000001E-4</v>
      </c>
      <c r="K485" s="74">
        <f t="shared" ref="K485:K489" si="92">$F$463</f>
        <v>2000</v>
      </c>
      <c r="L485" s="136">
        <f t="shared" ref="L485:L491" si="93">K485*J485</f>
        <v>-1</v>
      </c>
      <c r="M485" s="76"/>
      <c r="N485" s="137">
        <f t="shared" si="84"/>
        <v>-1.6</v>
      </c>
      <c r="O485" s="79">
        <f t="shared" si="85"/>
        <v>-2.666666666666667</v>
      </c>
    </row>
    <row r="486" spans="1:63" x14ac:dyDescent="0.3">
      <c r="B486" s="17"/>
      <c r="C486" s="73"/>
      <c r="D486" s="7"/>
      <c r="E486" s="73"/>
      <c r="F486" s="8"/>
      <c r="G486" s="74">
        <f t="shared" si="90"/>
        <v>2000</v>
      </c>
      <c r="H486" s="136">
        <f t="shared" si="91"/>
        <v>0</v>
      </c>
      <c r="I486" s="82"/>
      <c r="J486" s="8"/>
      <c r="K486" s="74">
        <f t="shared" si="92"/>
        <v>2000</v>
      </c>
      <c r="L486" s="136">
        <f t="shared" si="93"/>
        <v>0</v>
      </c>
      <c r="M486" s="83"/>
      <c r="N486" s="137">
        <f t="shared" si="84"/>
        <v>0</v>
      </c>
      <c r="O486" s="79" t="str">
        <f t="shared" si="85"/>
        <v/>
      </c>
    </row>
    <row r="487" spans="1:63" x14ac:dyDescent="0.3">
      <c r="B487" s="17"/>
      <c r="C487" s="73"/>
      <c r="D487" s="7"/>
      <c r="E487" s="73"/>
      <c r="F487" s="8"/>
      <c r="G487" s="74">
        <f t="shared" si="90"/>
        <v>2000</v>
      </c>
      <c r="H487" s="136">
        <f t="shared" si="91"/>
        <v>0</v>
      </c>
      <c r="I487" s="82"/>
      <c r="J487" s="8"/>
      <c r="K487" s="74">
        <f t="shared" si="92"/>
        <v>2000</v>
      </c>
      <c r="L487" s="136">
        <f t="shared" si="93"/>
        <v>0</v>
      </c>
      <c r="M487" s="83"/>
      <c r="N487" s="137">
        <f t="shared" si="84"/>
        <v>0</v>
      </c>
      <c r="O487" s="79" t="str">
        <f t="shared" si="85"/>
        <v/>
      </c>
    </row>
    <row r="488" spans="1:63" x14ac:dyDescent="0.3">
      <c r="B488" s="17"/>
      <c r="C488" s="73"/>
      <c r="D488" s="7"/>
      <c r="E488" s="73"/>
      <c r="F488" s="8"/>
      <c r="G488" s="74">
        <f t="shared" si="90"/>
        <v>2000</v>
      </c>
      <c r="H488" s="136">
        <f t="shared" si="91"/>
        <v>0</v>
      </c>
      <c r="I488" s="82"/>
      <c r="J488" s="8"/>
      <c r="K488" s="74">
        <f t="shared" si="92"/>
        <v>2000</v>
      </c>
      <c r="L488" s="136">
        <f t="shared" si="93"/>
        <v>0</v>
      </c>
      <c r="M488" s="83"/>
      <c r="N488" s="137">
        <f t="shared" si="84"/>
        <v>0</v>
      </c>
      <c r="O488" s="79" t="str">
        <f t="shared" si="85"/>
        <v/>
      </c>
    </row>
    <row r="489" spans="1:63" x14ac:dyDescent="0.3">
      <c r="B489" s="80" t="s">
        <v>35</v>
      </c>
      <c r="C489" s="73"/>
      <c r="D489" s="7" t="s">
        <v>27</v>
      </c>
      <c r="E489" s="73"/>
      <c r="F489" s="135">
        <v>2.0000000000000001E-4</v>
      </c>
      <c r="G489" s="74">
        <f t="shared" si="90"/>
        <v>2000</v>
      </c>
      <c r="H489" s="136">
        <f t="shared" si="91"/>
        <v>0.4</v>
      </c>
      <c r="I489" s="76"/>
      <c r="J489" s="135">
        <v>4.0000000000000002E-4</v>
      </c>
      <c r="K489" s="74">
        <f t="shared" si="92"/>
        <v>2000</v>
      </c>
      <c r="L489" s="136">
        <f t="shared" si="93"/>
        <v>0.8</v>
      </c>
      <c r="M489" s="76"/>
      <c r="N489" s="137">
        <f t="shared" si="84"/>
        <v>0.4</v>
      </c>
      <c r="O489" s="79">
        <f t="shared" si="85"/>
        <v>1</v>
      </c>
    </row>
    <row r="490" spans="1:63" x14ac:dyDescent="0.3">
      <c r="B490" s="80" t="s">
        <v>36</v>
      </c>
      <c r="C490" s="73"/>
      <c r="D490" s="7" t="s">
        <v>27</v>
      </c>
      <c r="E490" s="73"/>
      <c r="F490" s="138">
        <f>IF(ISBLANK(D461)=TRUE, 0, IF(D461="TOU", 0.64*$F500+0.18*$F501+0.18*$F502, IF(AND(D461="non-TOU", G504&gt;0), F504,F503)))</f>
        <v>8.3919999999999995E-2</v>
      </c>
      <c r="G490" s="18">
        <f>$F$463*(1+$F$519)-$F$463</f>
        <v>75.400000000000091</v>
      </c>
      <c r="H490" s="136">
        <f t="shared" si="91"/>
        <v>6.3275680000000074</v>
      </c>
      <c r="I490" s="76"/>
      <c r="J490" s="138">
        <f>0.64*$F500+0.18*$F501+0.18*$F502</f>
        <v>8.3919999999999995E-2</v>
      </c>
      <c r="K490" s="18">
        <f>$F$463*(1+$J$519)-$F$463</f>
        <v>75.200000000000273</v>
      </c>
      <c r="L490" s="136">
        <f t="shared" si="93"/>
        <v>6.3107840000000222</v>
      </c>
      <c r="M490" s="76"/>
      <c r="N490" s="137">
        <f t="shared" si="84"/>
        <v>-1.6783999999985255E-2</v>
      </c>
      <c r="O490" s="79">
        <f t="shared" si="85"/>
        <v>-2.6525198938968709E-3</v>
      </c>
    </row>
    <row r="491" spans="1:63" x14ac:dyDescent="0.3">
      <c r="B491" s="80" t="s">
        <v>37</v>
      </c>
      <c r="C491" s="73"/>
      <c r="D491" s="7" t="s">
        <v>24</v>
      </c>
      <c r="E491" s="73"/>
      <c r="F491" s="138">
        <v>0.79</v>
      </c>
      <c r="G491" s="74">
        <v>1</v>
      </c>
      <c r="H491" s="136">
        <f t="shared" si="91"/>
        <v>0.79</v>
      </c>
      <c r="I491" s="76"/>
      <c r="J491" s="138">
        <v>0.79</v>
      </c>
      <c r="K491" s="81">
        <v>1</v>
      </c>
      <c r="L491" s="136">
        <f t="shared" si="93"/>
        <v>0.79</v>
      </c>
      <c r="M491" s="76"/>
      <c r="N491" s="137">
        <f t="shared" si="84"/>
        <v>0</v>
      </c>
      <c r="O491" s="79"/>
    </row>
    <row r="492" spans="1:63" s="4" customFormat="1" x14ac:dyDescent="0.3">
      <c r="A492" s="60"/>
      <c r="B492" s="19" t="s">
        <v>38</v>
      </c>
      <c r="C492" s="20"/>
      <c r="D492" s="20"/>
      <c r="E492" s="20"/>
      <c r="F492" s="21"/>
      <c r="G492" s="22"/>
      <c r="H492" s="23">
        <f>SUM(H485:H491)+H484</f>
        <v>55.887568000000009</v>
      </c>
      <c r="I492" s="13"/>
      <c r="J492" s="22"/>
      <c r="K492" s="24"/>
      <c r="L492" s="23">
        <f>SUM(L485:L491)+L484</f>
        <v>53.290784000000023</v>
      </c>
      <c r="M492" s="13"/>
      <c r="N492" s="15">
        <f t="shared" si="84"/>
        <v>-2.5967839999999853</v>
      </c>
      <c r="O492" s="16">
        <f t="shared" ref="O492:O504" si="94">IF((H492)=0,"",(N492/H492))</f>
        <v>-4.6464430157347067E-2</v>
      </c>
      <c r="P492" s="60"/>
      <c r="Q492" s="126"/>
      <c r="R492" s="126"/>
      <c r="S492" s="126"/>
      <c r="T492" s="126"/>
      <c r="U492" s="126"/>
      <c r="V492" s="126"/>
      <c r="W492" s="126"/>
      <c r="X492" s="126"/>
      <c r="Y492" s="126"/>
      <c r="Z492" s="126"/>
      <c r="AA492" s="126"/>
      <c r="AB492" s="126"/>
      <c r="AC492" s="126"/>
      <c r="AD492" s="60"/>
      <c r="AE492" s="60"/>
      <c r="AF492" s="60"/>
      <c r="AG492" s="60"/>
      <c r="AH492" s="60"/>
      <c r="AI492" s="60"/>
      <c r="AJ492" s="60"/>
      <c r="AK492" s="60"/>
      <c r="AL492" s="60"/>
      <c r="AM492" s="60"/>
      <c r="AN492" s="60"/>
      <c r="AO492" s="60"/>
      <c r="AP492" s="60"/>
      <c r="AQ492" s="60"/>
      <c r="AR492" s="60"/>
      <c r="AS492" s="60"/>
      <c r="AT492" s="60"/>
      <c r="AU492" s="60"/>
      <c r="AV492" s="60"/>
      <c r="AW492" s="60"/>
      <c r="AX492" s="60"/>
      <c r="AY492" s="60"/>
      <c r="AZ492" s="60"/>
      <c r="BA492" s="60"/>
      <c r="BB492" s="60"/>
      <c r="BC492" s="60"/>
      <c r="BD492" s="60"/>
      <c r="BE492" s="60"/>
      <c r="BF492" s="60"/>
      <c r="BG492" s="60"/>
      <c r="BH492" s="60"/>
      <c r="BI492" s="60"/>
      <c r="BJ492" s="60"/>
      <c r="BK492" s="60"/>
    </row>
    <row r="493" spans="1:63" x14ac:dyDescent="0.3">
      <c r="B493" s="76" t="s">
        <v>39</v>
      </c>
      <c r="C493" s="76"/>
      <c r="D493" s="25" t="s">
        <v>27</v>
      </c>
      <c r="E493" s="76"/>
      <c r="F493" s="135">
        <v>8.0000000000000002E-3</v>
      </c>
      <c r="G493" s="18">
        <f>F463*(1+F519)</f>
        <v>2075.4</v>
      </c>
      <c r="H493" s="136">
        <f>G493*F493</f>
        <v>16.603200000000001</v>
      </c>
      <c r="I493" s="76"/>
      <c r="J493" s="135">
        <f>+$J$48</f>
        <v>7.9000000000000008E-3</v>
      </c>
      <c r="K493" s="18">
        <f>F463*(1+J519)</f>
        <v>2075.2000000000003</v>
      </c>
      <c r="L493" s="136">
        <f>K493*J493</f>
        <v>16.394080000000002</v>
      </c>
      <c r="M493" s="76"/>
      <c r="N493" s="136">
        <f t="shared" si="84"/>
        <v>-0.20911999999999864</v>
      </c>
      <c r="O493" s="79">
        <f t="shared" si="94"/>
        <v>-1.2595162378336624E-2</v>
      </c>
    </row>
    <row r="494" spans="1:63" x14ac:dyDescent="0.3">
      <c r="B494" s="85" t="s">
        <v>40</v>
      </c>
      <c r="C494" s="76"/>
      <c r="D494" s="25" t="s">
        <v>27</v>
      </c>
      <c r="E494" s="76"/>
      <c r="F494" s="135">
        <v>5.4999999999999997E-3</v>
      </c>
      <c r="G494" s="18">
        <f>G493</f>
        <v>2075.4</v>
      </c>
      <c r="H494" s="136">
        <f>G494*F494</f>
        <v>11.4147</v>
      </c>
      <c r="I494" s="76"/>
      <c r="J494" s="135">
        <f>+$J$49</f>
        <v>5.3E-3</v>
      </c>
      <c r="K494" s="18">
        <f>K493</f>
        <v>2075.2000000000003</v>
      </c>
      <c r="L494" s="136">
        <f>K494*J494</f>
        <v>10.998560000000001</v>
      </c>
      <c r="M494" s="76"/>
      <c r="N494" s="136">
        <f t="shared" si="84"/>
        <v>-0.41613999999999862</v>
      </c>
      <c r="O494" s="79">
        <f t="shared" si="94"/>
        <v>-3.6456499075753074E-2</v>
      </c>
    </row>
    <row r="495" spans="1:63" s="4" customFormat="1" x14ac:dyDescent="0.3">
      <c r="A495" s="60"/>
      <c r="B495" s="19" t="s">
        <v>41</v>
      </c>
      <c r="C495" s="20"/>
      <c r="D495" s="20"/>
      <c r="E495" s="20"/>
      <c r="F495" s="21"/>
      <c r="G495" s="22"/>
      <c r="H495" s="23">
        <f>SUM(H492:H494)</f>
        <v>83.905467999999999</v>
      </c>
      <c r="I495" s="13"/>
      <c r="J495" s="26"/>
      <c r="K495" s="22"/>
      <c r="L495" s="23">
        <f>SUM(L492:L494)</f>
        <v>80.683424000000031</v>
      </c>
      <c r="M495" s="13"/>
      <c r="N495" s="15">
        <f t="shared" si="84"/>
        <v>-3.2220439999999684</v>
      </c>
      <c r="O495" s="16">
        <f t="shared" si="94"/>
        <v>-3.8400882288147996E-2</v>
      </c>
      <c r="P495" s="60"/>
      <c r="Q495" s="126"/>
      <c r="R495" s="126"/>
      <c r="S495" s="126"/>
      <c r="T495" s="126"/>
      <c r="U495" s="126"/>
      <c r="V495" s="126"/>
      <c r="W495" s="126"/>
      <c r="X495" s="126"/>
      <c r="Y495" s="126"/>
      <c r="Z495" s="126"/>
      <c r="AA495" s="126"/>
      <c r="AB495" s="126"/>
      <c r="AC495" s="126"/>
      <c r="AD495" s="60"/>
      <c r="AE495" s="60"/>
      <c r="AF495" s="60"/>
      <c r="AG495" s="60"/>
      <c r="AH495" s="60"/>
      <c r="AI495" s="60"/>
      <c r="AJ495" s="60"/>
      <c r="AK495" s="60"/>
      <c r="AL495" s="60"/>
      <c r="AM495" s="60"/>
      <c r="AN495" s="60"/>
      <c r="AO495" s="60"/>
      <c r="AP495" s="60"/>
      <c r="AQ495" s="60"/>
      <c r="AR495" s="60"/>
      <c r="AS495" s="60"/>
      <c r="AT495" s="60"/>
      <c r="AU495" s="60"/>
      <c r="AV495" s="60"/>
      <c r="AW495" s="60"/>
      <c r="AX495" s="60"/>
      <c r="AY495" s="60"/>
      <c r="AZ495" s="60"/>
      <c r="BA495" s="60"/>
      <c r="BB495" s="60"/>
      <c r="BC495" s="60"/>
      <c r="BD495" s="60"/>
      <c r="BE495" s="60"/>
      <c r="BF495" s="60"/>
      <c r="BG495" s="60"/>
      <c r="BH495" s="60"/>
      <c r="BI495" s="60"/>
      <c r="BJ495" s="60"/>
      <c r="BK495" s="60"/>
    </row>
    <row r="496" spans="1:63" x14ac:dyDescent="0.3">
      <c r="B496" s="86" t="s">
        <v>42</v>
      </c>
      <c r="C496" s="73"/>
      <c r="D496" s="7" t="s">
        <v>27</v>
      </c>
      <c r="E496" s="73"/>
      <c r="F496" s="135">
        <v>4.4000000000000003E-3</v>
      </c>
      <c r="G496" s="18">
        <f>G494</f>
        <v>2075.4</v>
      </c>
      <c r="H496" s="139">
        <f t="shared" ref="H496:H504" si="95">G496*F496</f>
        <v>9.1317600000000017</v>
      </c>
      <c r="I496" s="76"/>
      <c r="J496" s="135">
        <v>4.4000000000000003E-3</v>
      </c>
      <c r="K496" s="18">
        <f>K494</f>
        <v>2075.2000000000003</v>
      </c>
      <c r="L496" s="139">
        <f t="shared" ref="L496:L504" si="96">K496*J496</f>
        <v>9.1308800000000012</v>
      </c>
      <c r="M496" s="76"/>
      <c r="N496" s="137">
        <f t="shared" si="84"/>
        <v>-8.8000000000043599E-4</v>
      </c>
      <c r="O496" s="87">
        <f t="shared" si="94"/>
        <v>-9.6366965404307147E-5</v>
      </c>
    </row>
    <row r="497" spans="1:63" x14ac:dyDescent="0.3">
      <c r="B497" s="86" t="s">
        <v>43</v>
      </c>
      <c r="C497" s="73"/>
      <c r="D497" s="7" t="s">
        <v>27</v>
      </c>
      <c r="E497" s="73"/>
      <c r="F497" s="135">
        <v>1.1999999999999999E-3</v>
      </c>
      <c r="G497" s="18">
        <f>G494</f>
        <v>2075.4</v>
      </c>
      <c r="H497" s="139">
        <f t="shared" si="95"/>
        <v>2.4904799999999998</v>
      </c>
      <c r="I497" s="76"/>
      <c r="J497" s="135">
        <v>1.2999999999999999E-3</v>
      </c>
      <c r="K497" s="18">
        <f>K494</f>
        <v>2075.2000000000003</v>
      </c>
      <c r="L497" s="139">
        <f t="shared" si="96"/>
        <v>2.6977600000000002</v>
      </c>
      <c r="M497" s="76"/>
      <c r="N497" s="137">
        <f t="shared" si="84"/>
        <v>0.20728000000000035</v>
      </c>
      <c r="O497" s="87">
        <f t="shared" si="94"/>
        <v>8.3228935787478864E-2</v>
      </c>
    </row>
    <row r="498" spans="1:63" x14ac:dyDescent="0.3">
      <c r="B498" s="73" t="s">
        <v>44</v>
      </c>
      <c r="C498" s="73"/>
      <c r="D498" s="7" t="s">
        <v>24</v>
      </c>
      <c r="E498" s="73"/>
      <c r="F498" s="135">
        <v>0.25</v>
      </c>
      <c r="G498" s="81">
        <v>1</v>
      </c>
      <c r="H498" s="139">
        <f t="shared" si="95"/>
        <v>0.25</v>
      </c>
      <c r="I498" s="76"/>
      <c r="J498" s="135">
        <v>0.25</v>
      </c>
      <c r="K498" s="77">
        <v>1</v>
      </c>
      <c r="L498" s="139">
        <f t="shared" si="96"/>
        <v>0.25</v>
      </c>
      <c r="M498" s="76"/>
      <c r="N498" s="137">
        <f t="shared" si="84"/>
        <v>0</v>
      </c>
      <c r="O498" s="87">
        <f t="shared" si="94"/>
        <v>0</v>
      </c>
    </row>
    <row r="499" spans="1:63" x14ac:dyDescent="0.3">
      <c r="B499" s="73" t="s">
        <v>45</v>
      </c>
      <c r="C499" s="73"/>
      <c r="D499" s="7" t="s">
        <v>27</v>
      </c>
      <c r="E499" s="73"/>
      <c r="F499" s="135">
        <v>7.0000000000000001E-3</v>
      </c>
      <c r="G499" s="84">
        <f>F463</f>
        <v>2000</v>
      </c>
      <c r="H499" s="139">
        <f t="shared" si="95"/>
        <v>14</v>
      </c>
      <c r="I499" s="76"/>
      <c r="J499" s="135">
        <v>7.0000000000000001E-3</v>
      </c>
      <c r="K499" s="77">
        <f>F463</f>
        <v>2000</v>
      </c>
      <c r="L499" s="139">
        <f t="shared" si="96"/>
        <v>14</v>
      </c>
      <c r="M499" s="76"/>
      <c r="N499" s="137">
        <f t="shared" si="84"/>
        <v>0</v>
      </c>
      <c r="O499" s="87">
        <f t="shared" si="94"/>
        <v>0</v>
      </c>
    </row>
    <row r="500" spans="1:63" x14ac:dyDescent="0.3">
      <c r="B500" s="80" t="s">
        <v>46</v>
      </c>
      <c r="C500" s="73"/>
      <c r="D500" s="7" t="s">
        <v>27</v>
      </c>
      <c r="E500" s="73"/>
      <c r="F500" s="138">
        <v>6.7000000000000004E-2</v>
      </c>
      <c r="G500" s="27">
        <f>0.64*$F$463</f>
        <v>1280</v>
      </c>
      <c r="H500" s="139">
        <f t="shared" si="95"/>
        <v>85.76</v>
      </c>
      <c r="I500" s="76"/>
      <c r="J500" s="138">
        <v>6.7000000000000004E-2</v>
      </c>
      <c r="K500" s="28">
        <f>G500</f>
        <v>1280</v>
      </c>
      <c r="L500" s="139">
        <f t="shared" si="96"/>
        <v>85.76</v>
      </c>
      <c r="M500" s="76"/>
      <c r="N500" s="137">
        <f t="shared" si="84"/>
        <v>0</v>
      </c>
      <c r="O500" s="87">
        <f t="shared" si="94"/>
        <v>0</v>
      </c>
      <c r="S500" s="127"/>
    </row>
    <row r="501" spans="1:63" x14ac:dyDescent="0.3">
      <c r="B501" s="80" t="s">
        <v>47</v>
      </c>
      <c r="C501" s="73"/>
      <c r="D501" s="7" t="s">
        <v>27</v>
      </c>
      <c r="E501" s="73"/>
      <c r="F501" s="138">
        <v>0.104</v>
      </c>
      <c r="G501" s="27">
        <f>0.18*$F$463</f>
        <v>360</v>
      </c>
      <c r="H501" s="139">
        <f t="shared" si="95"/>
        <v>37.44</v>
      </c>
      <c r="I501" s="76"/>
      <c r="J501" s="138">
        <v>0.104</v>
      </c>
      <c r="K501" s="28">
        <f>G501</f>
        <v>360</v>
      </c>
      <c r="L501" s="139">
        <f t="shared" si="96"/>
        <v>37.44</v>
      </c>
      <c r="M501" s="76"/>
      <c r="N501" s="137">
        <f t="shared" si="84"/>
        <v>0</v>
      </c>
      <c r="O501" s="87">
        <f t="shared" si="94"/>
        <v>0</v>
      </c>
      <c r="S501" s="127"/>
    </row>
    <row r="502" spans="1:63" x14ac:dyDescent="0.3">
      <c r="B502" s="64" t="s">
        <v>48</v>
      </c>
      <c r="C502" s="73"/>
      <c r="D502" s="7" t="s">
        <v>27</v>
      </c>
      <c r="E502" s="73"/>
      <c r="F502" s="138">
        <v>0.124</v>
      </c>
      <c r="G502" s="27">
        <f>0.18*$F$463</f>
        <v>360</v>
      </c>
      <c r="H502" s="139">
        <f t="shared" si="95"/>
        <v>44.64</v>
      </c>
      <c r="I502" s="76"/>
      <c r="J502" s="138">
        <v>0.124</v>
      </c>
      <c r="K502" s="28">
        <f>G502</f>
        <v>360</v>
      </c>
      <c r="L502" s="139">
        <f t="shared" si="96"/>
        <v>44.64</v>
      </c>
      <c r="M502" s="76"/>
      <c r="N502" s="137">
        <f t="shared" si="84"/>
        <v>0</v>
      </c>
      <c r="O502" s="87">
        <f t="shared" si="94"/>
        <v>0</v>
      </c>
      <c r="S502" s="127"/>
    </row>
    <row r="503" spans="1:63" s="92" customFormat="1" x14ac:dyDescent="0.25">
      <c r="B503" s="89" t="s">
        <v>49</v>
      </c>
      <c r="C503" s="90"/>
      <c r="D503" s="29" t="s">
        <v>27</v>
      </c>
      <c r="E503" s="90"/>
      <c r="F503" s="138">
        <v>7.4999999999999997E-2</v>
      </c>
      <c r="G503" s="30">
        <f>IF(AND($T$1=1, F463&gt;=600), 600, IF(AND($T$1=1, AND(F463&lt;600, F463&gt;=0)), F463, IF(AND($T$1=2, F463&gt;=1000), 1000, IF(AND($T$1=2, AND(F463&lt;1000, F463&gt;=0)), F463))))</f>
        <v>600</v>
      </c>
      <c r="H503" s="139">
        <f t="shared" si="95"/>
        <v>45</v>
      </c>
      <c r="I503" s="91"/>
      <c r="J503" s="138">
        <v>7.4999999999999997E-2</v>
      </c>
      <c r="K503" s="31">
        <f>G503</f>
        <v>600</v>
      </c>
      <c r="L503" s="139">
        <f t="shared" si="96"/>
        <v>45</v>
      </c>
      <c r="M503" s="91"/>
      <c r="N503" s="140">
        <f t="shared" si="84"/>
        <v>0</v>
      </c>
      <c r="O503" s="87">
        <f t="shared" si="94"/>
        <v>0</v>
      </c>
      <c r="Q503" s="128"/>
      <c r="R503" s="128"/>
      <c r="S503" s="128"/>
      <c r="T503" s="128"/>
      <c r="U503" s="128"/>
      <c r="V503" s="128"/>
      <c r="W503" s="128"/>
      <c r="X503" s="128"/>
      <c r="Y503" s="128"/>
      <c r="Z503" s="128"/>
      <c r="AA503" s="128"/>
      <c r="AB503" s="128"/>
      <c r="AC503" s="128"/>
    </row>
    <row r="504" spans="1:63" s="92" customFormat="1" ht="15" thickBot="1" x14ac:dyDescent="0.3">
      <c r="B504" s="89" t="s">
        <v>50</v>
      </c>
      <c r="C504" s="90"/>
      <c r="D504" s="29" t="s">
        <v>27</v>
      </c>
      <c r="E504" s="90"/>
      <c r="F504" s="138">
        <v>8.7999999999999995E-2</v>
      </c>
      <c r="G504" s="30">
        <f>IF(AND($T$1=1, F463&gt;=600), F463-600, IF(AND($T$1=1, AND(F463&lt;600, F463&gt;=0)), 0, IF(AND($T$1=2, F463&gt;=1000), F463-1000, IF(AND($T$1=2, AND(F463&lt;1000, F463&gt;=0)), 0))))</f>
        <v>1400</v>
      </c>
      <c r="H504" s="139">
        <f t="shared" si="95"/>
        <v>123.19999999999999</v>
      </c>
      <c r="I504" s="91"/>
      <c r="J504" s="138">
        <v>8.7999999999999995E-2</v>
      </c>
      <c r="K504" s="31">
        <f>G504</f>
        <v>1400</v>
      </c>
      <c r="L504" s="139">
        <f t="shared" si="96"/>
        <v>123.19999999999999</v>
      </c>
      <c r="M504" s="91"/>
      <c r="N504" s="140">
        <f t="shared" si="84"/>
        <v>0</v>
      </c>
      <c r="O504" s="87">
        <f t="shared" si="94"/>
        <v>0</v>
      </c>
      <c r="Q504" s="128"/>
      <c r="R504" s="128"/>
      <c r="S504" s="128"/>
      <c r="T504" s="128"/>
      <c r="U504" s="128"/>
      <c r="V504" s="128"/>
      <c r="W504" s="128"/>
      <c r="X504" s="128"/>
      <c r="Y504" s="128"/>
      <c r="Z504" s="128"/>
      <c r="AA504" s="128"/>
      <c r="AB504" s="128"/>
      <c r="AC504" s="128"/>
    </row>
    <row r="505" spans="1:63" s="4" customFormat="1" ht="15" thickBot="1" x14ac:dyDescent="0.35">
      <c r="A505" s="60"/>
      <c r="B505" s="32"/>
      <c r="C505" s="33"/>
      <c r="D505" s="124"/>
      <c r="E505" s="33"/>
      <c r="F505" s="35"/>
      <c r="G505" s="36"/>
      <c r="H505" s="122"/>
      <c r="I505" s="123"/>
      <c r="J505" s="35"/>
      <c r="K505" s="39"/>
      <c r="L505" s="122"/>
      <c r="M505" s="123"/>
      <c r="N505" s="40"/>
      <c r="O505" s="41"/>
      <c r="P505" s="60"/>
      <c r="Q505" s="126"/>
      <c r="R505" s="126"/>
      <c r="S505" s="126"/>
      <c r="T505" s="126"/>
      <c r="U505" s="126"/>
      <c r="V505" s="126"/>
      <c r="W505" s="126"/>
      <c r="X505" s="126"/>
      <c r="Y505" s="126"/>
      <c r="Z505" s="126"/>
      <c r="AA505" s="126"/>
      <c r="AB505" s="126"/>
      <c r="AC505" s="126"/>
      <c r="AD505" s="60"/>
      <c r="AE505" s="60"/>
      <c r="AF505" s="60"/>
      <c r="AG505" s="60"/>
      <c r="AH505" s="60"/>
      <c r="AI505" s="60"/>
      <c r="AJ505" s="60"/>
      <c r="AK505" s="60"/>
      <c r="AL505" s="60"/>
      <c r="AM505" s="60"/>
      <c r="AN505" s="60"/>
      <c r="AO505" s="60"/>
      <c r="AP505" s="60"/>
      <c r="AQ505" s="60"/>
      <c r="AR505" s="60"/>
      <c r="AS505" s="60"/>
      <c r="AT505" s="60"/>
      <c r="AU505" s="60"/>
      <c r="AV505" s="60"/>
      <c r="AW505" s="60"/>
      <c r="AX505" s="60"/>
      <c r="AY505" s="60"/>
      <c r="AZ505" s="60"/>
      <c r="BA505" s="60"/>
      <c r="BB505" s="60"/>
      <c r="BC505" s="60"/>
      <c r="BD505" s="60"/>
      <c r="BE505" s="60"/>
      <c r="BF505" s="60"/>
      <c r="BG505" s="60"/>
      <c r="BH505" s="60"/>
      <c r="BI505" s="60"/>
      <c r="BJ505" s="60"/>
      <c r="BK505" s="60"/>
    </row>
    <row r="506" spans="1:63" x14ac:dyDescent="0.3">
      <c r="B506" s="93" t="s">
        <v>51</v>
      </c>
      <c r="C506" s="73"/>
      <c r="D506" s="73"/>
      <c r="E506" s="73"/>
      <c r="F506" s="94"/>
      <c r="G506" s="95"/>
      <c r="H506" s="141">
        <f>SUM(H496:H502,H495)</f>
        <v>277.61770799999999</v>
      </c>
      <c r="I506" s="96"/>
      <c r="J506" s="97"/>
      <c r="K506" s="97"/>
      <c r="L506" s="144">
        <f>SUM(L496:L502,L495)</f>
        <v>274.60206400000004</v>
      </c>
      <c r="M506" s="145"/>
      <c r="N506" s="146">
        <f>L506-H506</f>
        <v>-3.015643999999952</v>
      </c>
      <c r="O506" s="98">
        <f>IF((H506)=0,"",(N506/H506))</f>
        <v>-1.0862577973592203E-2</v>
      </c>
      <c r="S506" s="127"/>
    </row>
    <row r="507" spans="1:63" x14ac:dyDescent="0.3">
      <c r="B507" s="99" t="s">
        <v>52</v>
      </c>
      <c r="C507" s="73"/>
      <c r="D507" s="73"/>
      <c r="E507" s="73"/>
      <c r="F507" s="100">
        <v>0.13</v>
      </c>
      <c r="G507" s="101"/>
      <c r="H507" s="142">
        <f>H506*F507</f>
        <v>36.090302039999997</v>
      </c>
      <c r="I507" s="102"/>
      <c r="J507" s="103">
        <v>0.13</v>
      </c>
      <c r="K507" s="102"/>
      <c r="L507" s="147">
        <f>L506*J507</f>
        <v>35.698268320000004</v>
      </c>
      <c r="M507" s="148"/>
      <c r="N507" s="149">
        <f>L507-H507</f>
        <v>-0.39203371999999348</v>
      </c>
      <c r="O507" s="104">
        <f>IF((H507)=0,"",(N507/H507))</f>
        <v>-1.0862577973592196E-2</v>
      </c>
      <c r="S507" s="127"/>
    </row>
    <row r="508" spans="1:63" x14ac:dyDescent="0.3">
      <c r="B508" s="105" t="s">
        <v>53</v>
      </c>
      <c r="C508" s="73"/>
      <c r="D508" s="73"/>
      <c r="E508" s="73"/>
      <c r="F508" s="106"/>
      <c r="G508" s="101"/>
      <c r="H508" s="142">
        <f>H506+H507</f>
        <v>313.70801003999998</v>
      </c>
      <c r="I508" s="102"/>
      <c r="J508" s="102"/>
      <c r="K508" s="102"/>
      <c r="L508" s="147">
        <f>L506+L507</f>
        <v>310.30033232000005</v>
      </c>
      <c r="M508" s="148"/>
      <c r="N508" s="149">
        <f>L508-H508</f>
        <v>-3.4076777199999242</v>
      </c>
      <c r="O508" s="104">
        <f>IF((H508)=0,"",(N508/H508))</f>
        <v>-1.0862577973592136E-2</v>
      </c>
      <c r="S508" s="127"/>
    </row>
    <row r="509" spans="1:63" ht="14.4" customHeight="1" x14ac:dyDescent="0.3">
      <c r="B509" s="172" t="s">
        <v>54</v>
      </c>
      <c r="C509" s="172"/>
      <c r="D509" s="172"/>
      <c r="E509" s="73"/>
      <c r="F509" s="106"/>
      <c r="G509" s="101"/>
      <c r="H509" s="143">
        <f>ROUND(-H508*10%,2)</f>
        <v>-31.37</v>
      </c>
      <c r="I509" s="102"/>
      <c r="J509" s="102"/>
      <c r="K509" s="102"/>
      <c r="L509" s="150">
        <f>ROUND(-L508*10%,2)</f>
        <v>-31.03</v>
      </c>
      <c r="M509" s="148"/>
      <c r="N509" s="151">
        <f>L509-H509</f>
        <v>0.33999999999999986</v>
      </c>
      <c r="O509" s="107">
        <f>IF((H509)=0,"",(N509/H509))</f>
        <v>-1.0838380618425241E-2</v>
      </c>
    </row>
    <row r="510" spans="1:63" s="4" customFormat="1" ht="15" thickBot="1" x14ac:dyDescent="0.35">
      <c r="A510" s="60"/>
      <c r="B510" s="173" t="s">
        <v>55</v>
      </c>
      <c r="C510" s="173"/>
      <c r="D510" s="173"/>
      <c r="E510" s="42"/>
      <c r="F510" s="43"/>
      <c r="G510" s="44"/>
      <c r="H510" s="45">
        <f>H508+H509</f>
        <v>282.33801003999997</v>
      </c>
      <c r="I510" s="46"/>
      <c r="J510" s="46"/>
      <c r="K510" s="46"/>
      <c r="L510" s="47">
        <f>L508+L509</f>
        <v>279.27033232000008</v>
      </c>
      <c r="M510" s="48"/>
      <c r="N510" s="49">
        <f>L510-H510</f>
        <v>-3.0676777199998924</v>
      </c>
      <c r="O510" s="50">
        <f>IF((H510)=0,"",(N510/H510))</f>
        <v>-1.0865266492334071E-2</v>
      </c>
      <c r="P510" s="60"/>
      <c r="Q510" s="126"/>
      <c r="R510" s="126"/>
      <c r="S510" s="126"/>
      <c r="T510" s="126"/>
      <c r="U510" s="126"/>
      <c r="V510" s="126"/>
      <c r="W510" s="126"/>
      <c r="X510" s="126"/>
      <c r="Y510" s="126"/>
      <c r="Z510" s="126"/>
      <c r="AA510" s="126"/>
      <c r="AB510" s="126"/>
      <c r="AC510" s="126"/>
      <c r="AD510" s="60"/>
      <c r="AE510" s="60"/>
      <c r="AF510" s="60"/>
      <c r="AG510" s="60"/>
      <c r="AH510" s="60"/>
      <c r="AI510" s="60"/>
      <c r="AJ510" s="60"/>
      <c r="AK510" s="60"/>
      <c r="AL510" s="60"/>
      <c r="AM510" s="60"/>
      <c r="AN510" s="60"/>
      <c r="AO510" s="60"/>
      <c r="AP510" s="60"/>
      <c r="AQ510" s="60"/>
      <c r="AR510" s="60"/>
      <c r="AS510" s="60"/>
      <c r="AT510" s="60"/>
      <c r="AU510" s="60"/>
      <c r="AV510" s="60"/>
      <c r="AW510" s="60"/>
      <c r="AX510" s="60"/>
      <c r="AY510" s="60"/>
      <c r="AZ510" s="60"/>
      <c r="BA510" s="60"/>
      <c r="BB510" s="60"/>
      <c r="BC510" s="60"/>
      <c r="BD510" s="60"/>
      <c r="BE510" s="60"/>
      <c r="BF510" s="60"/>
      <c r="BG510" s="60"/>
      <c r="BH510" s="60"/>
      <c r="BI510" s="60"/>
      <c r="BJ510" s="60"/>
      <c r="BK510" s="60"/>
    </row>
    <row r="511" spans="1:63" s="4" customFormat="1" ht="15" thickBot="1" x14ac:dyDescent="0.35">
      <c r="A511" s="60"/>
      <c r="B511" s="32"/>
      <c r="C511" s="33"/>
      <c r="D511" s="34"/>
      <c r="E511" s="33"/>
      <c r="F511" s="35"/>
      <c r="G511" s="36"/>
      <c r="H511" s="37"/>
      <c r="I511" s="38"/>
      <c r="J511" s="35"/>
      <c r="K511" s="39"/>
      <c r="L511" s="37"/>
      <c r="M511" s="123"/>
      <c r="N511" s="40"/>
      <c r="O511" s="41"/>
      <c r="P511" s="60"/>
      <c r="Q511" s="126"/>
      <c r="R511" s="126"/>
      <c r="S511" s="126"/>
      <c r="T511" s="126"/>
      <c r="U511" s="126"/>
      <c r="V511" s="126"/>
      <c r="W511" s="126"/>
      <c r="X511" s="126"/>
      <c r="Y511" s="126"/>
      <c r="Z511" s="126"/>
      <c r="AA511" s="126"/>
      <c r="AB511" s="126"/>
      <c r="AC511" s="126"/>
      <c r="AD511" s="60"/>
      <c r="AE511" s="60"/>
      <c r="AF511" s="60"/>
      <c r="AG511" s="60"/>
      <c r="AH511" s="60"/>
      <c r="AI511" s="60"/>
      <c r="AJ511" s="60"/>
      <c r="AK511" s="60"/>
      <c r="AL511" s="60"/>
      <c r="AM511" s="60"/>
      <c r="AN511" s="60"/>
      <c r="AO511" s="60"/>
      <c r="AP511" s="60"/>
      <c r="AQ511" s="60"/>
      <c r="AR511" s="60"/>
      <c r="AS511" s="60"/>
      <c r="AT511" s="60"/>
      <c r="AU511" s="60"/>
      <c r="AV511" s="60"/>
      <c r="AW511" s="60"/>
      <c r="AX511" s="60"/>
      <c r="AY511" s="60"/>
      <c r="AZ511" s="60"/>
      <c r="BA511" s="60"/>
      <c r="BB511" s="60"/>
      <c r="BC511" s="60"/>
      <c r="BD511" s="60"/>
      <c r="BE511" s="60"/>
      <c r="BF511" s="60"/>
      <c r="BG511" s="60"/>
      <c r="BH511" s="60"/>
      <c r="BI511" s="60"/>
      <c r="BJ511" s="60"/>
      <c r="BK511" s="60"/>
    </row>
    <row r="512" spans="1:63" s="92" customFormat="1" ht="13.2" x14ac:dyDescent="0.25">
      <c r="B512" s="108" t="s">
        <v>56</v>
      </c>
      <c r="C512" s="90"/>
      <c r="D512" s="90"/>
      <c r="E512" s="90"/>
      <c r="F512" s="109"/>
      <c r="G512" s="110"/>
      <c r="H512" s="152">
        <f>SUM(H503:H504,H495,H496:H499)</f>
        <v>277.97770799999995</v>
      </c>
      <c r="I512" s="111"/>
      <c r="J512" s="112"/>
      <c r="K512" s="112"/>
      <c r="L512" s="155">
        <f>SUM(L503:L504,L495,L496:L499)</f>
        <v>274.96206400000005</v>
      </c>
      <c r="M512" s="156"/>
      <c r="N512" s="157">
        <f>L512-H512</f>
        <v>-3.0156439999998952</v>
      </c>
      <c r="O512" s="98">
        <f>IF((H512)=0,"",(N512/H512))</f>
        <v>-1.0848510197802969E-2</v>
      </c>
      <c r="Q512" s="128"/>
      <c r="R512" s="128"/>
      <c r="S512" s="128"/>
      <c r="T512" s="128"/>
      <c r="U512" s="128"/>
      <c r="V512" s="128"/>
      <c r="W512" s="128"/>
      <c r="X512" s="128"/>
      <c r="Y512" s="128"/>
      <c r="Z512" s="128"/>
      <c r="AA512" s="128"/>
      <c r="AB512" s="128"/>
      <c r="AC512" s="128"/>
    </row>
    <row r="513" spans="1:63" s="92" customFormat="1" ht="13.2" x14ac:dyDescent="0.25">
      <c r="B513" s="113" t="s">
        <v>52</v>
      </c>
      <c r="C513" s="90"/>
      <c r="D513" s="90"/>
      <c r="E513" s="90"/>
      <c r="F513" s="114">
        <v>0.13</v>
      </c>
      <c r="G513" s="110"/>
      <c r="H513" s="153">
        <f>H512*F513</f>
        <v>36.137102039999995</v>
      </c>
      <c r="I513" s="115"/>
      <c r="J513" s="116">
        <v>0.13</v>
      </c>
      <c r="K513" s="117"/>
      <c r="L513" s="158">
        <f>L512*J513</f>
        <v>35.745068320000009</v>
      </c>
      <c r="M513" s="159"/>
      <c r="N513" s="160">
        <f>L513-H513</f>
        <v>-0.39203371999998637</v>
      </c>
      <c r="O513" s="104">
        <f>IF((H513)=0,"",(N513/H513))</f>
        <v>-1.0848510197802967E-2</v>
      </c>
      <c r="Q513" s="128"/>
      <c r="R513" s="128"/>
      <c r="S513" s="128"/>
      <c r="T513" s="128"/>
      <c r="U513" s="128"/>
      <c r="V513" s="128"/>
      <c r="W513" s="128"/>
      <c r="X513" s="128"/>
      <c r="Y513" s="128"/>
      <c r="Z513" s="128"/>
      <c r="AA513" s="128"/>
      <c r="AB513" s="128"/>
      <c r="AC513" s="128"/>
    </row>
    <row r="514" spans="1:63" s="92" customFormat="1" ht="13.2" x14ac:dyDescent="0.25">
      <c r="B514" s="118" t="s">
        <v>53</v>
      </c>
      <c r="C514" s="90"/>
      <c r="D514" s="90"/>
      <c r="E514" s="90"/>
      <c r="F514" s="119"/>
      <c r="G514" s="120"/>
      <c r="H514" s="153">
        <f>H512+H513</f>
        <v>314.11481003999995</v>
      </c>
      <c r="I514" s="115"/>
      <c r="J514" s="115"/>
      <c r="K514" s="115"/>
      <c r="L514" s="158">
        <f>L512+L513</f>
        <v>310.70713232000008</v>
      </c>
      <c r="M514" s="159"/>
      <c r="N514" s="160">
        <f>L514-H514</f>
        <v>-3.4076777199998673</v>
      </c>
      <c r="O514" s="104">
        <f>IF((H514)=0,"",(N514/H514))</f>
        <v>-1.0848510197802922E-2</v>
      </c>
      <c r="Q514" s="128"/>
      <c r="R514" s="128"/>
      <c r="S514" s="128"/>
      <c r="T514" s="128"/>
      <c r="U514" s="128"/>
      <c r="V514" s="128"/>
      <c r="W514" s="128"/>
      <c r="X514" s="128"/>
      <c r="Y514" s="128"/>
      <c r="Z514" s="128"/>
      <c r="AA514" s="128"/>
      <c r="AB514" s="128"/>
      <c r="AC514" s="128"/>
    </row>
    <row r="515" spans="1:63" s="92" customFormat="1" ht="13.2" customHeight="1" x14ac:dyDescent="0.25">
      <c r="B515" s="174" t="s">
        <v>54</v>
      </c>
      <c r="C515" s="174"/>
      <c r="D515" s="174"/>
      <c r="E515" s="90"/>
      <c r="F515" s="119"/>
      <c r="G515" s="120"/>
      <c r="H515" s="154">
        <f>ROUND(-H514*10%,2)</f>
        <v>-31.41</v>
      </c>
      <c r="I515" s="115"/>
      <c r="J515" s="115"/>
      <c r="K515" s="115"/>
      <c r="L515" s="161">
        <f>ROUND(-L514*10%,2)</f>
        <v>-31.07</v>
      </c>
      <c r="M515" s="159"/>
      <c r="N515" s="162">
        <f>L515-H515</f>
        <v>0.33999999999999986</v>
      </c>
      <c r="O515" s="107">
        <f>IF((H515)=0,"",(N515/H515))</f>
        <v>-1.0824578159821708E-2</v>
      </c>
      <c r="Q515" s="128"/>
      <c r="R515" s="128"/>
      <c r="S515" s="128"/>
      <c r="T515" s="128"/>
      <c r="U515" s="128"/>
      <c r="V515" s="128"/>
      <c r="W515" s="128"/>
      <c r="X515" s="128"/>
      <c r="Y515" s="128"/>
      <c r="Z515" s="128"/>
      <c r="AA515" s="128"/>
      <c r="AB515" s="128"/>
      <c r="AC515" s="128"/>
    </row>
    <row r="516" spans="1:63" s="4" customFormat="1" ht="15" thickBot="1" x14ac:dyDescent="0.35">
      <c r="A516" s="60"/>
      <c r="B516" s="173" t="s">
        <v>57</v>
      </c>
      <c r="C516" s="173"/>
      <c r="D516" s="173"/>
      <c r="E516" s="42"/>
      <c r="F516" s="43"/>
      <c r="G516" s="44"/>
      <c r="H516" s="45">
        <f>SUM(H514:H515)</f>
        <v>282.70481003999993</v>
      </c>
      <c r="I516" s="46"/>
      <c r="J516" s="46"/>
      <c r="K516" s="46"/>
      <c r="L516" s="47">
        <f>SUM(L514:L515)</f>
        <v>279.63713232000009</v>
      </c>
      <c r="M516" s="48"/>
      <c r="N516" s="49">
        <f>L516-H516</f>
        <v>-3.0676777199998355</v>
      </c>
      <c r="O516" s="50">
        <f>IF((H516)=0,"",(N516/H516))</f>
        <v>-1.0851169173831141E-2</v>
      </c>
      <c r="P516" s="60"/>
      <c r="Q516" s="126"/>
      <c r="R516" s="126"/>
      <c r="S516" s="126"/>
      <c r="T516" s="126"/>
      <c r="U516" s="126"/>
      <c r="V516" s="126"/>
      <c r="W516" s="126"/>
      <c r="X516" s="126"/>
      <c r="Y516" s="126"/>
      <c r="Z516" s="126"/>
      <c r="AA516" s="126"/>
      <c r="AB516" s="126"/>
      <c r="AC516" s="126"/>
      <c r="AD516" s="60"/>
      <c r="AE516" s="60"/>
      <c r="AF516" s="60"/>
      <c r="AG516" s="60"/>
      <c r="AH516" s="60"/>
      <c r="AI516" s="60"/>
      <c r="AJ516" s="60"/>
      <c r="AK516" s="60"/>
      <c r="AL516" s="60"/>
      <c r="AM516" s="60"/>
      <c r="AN516" s="60"/>
      <c r="AO516" s="60"/>
      <c r="AP516" s="60"/>
      <c r="AQ516" s="60"/>
      <c r="AR516" s="60"/>
      <c r="AS516" s="60"/>
      <c r="AT516" s="60"/>
      <c r="AU516" s="60"/>
      <c r="AV516" s="60"/>
      <c r="AW516" s="60"/>
      <c r="AX516" s="60"/>
      <c r="AY516" s="60"/>
      <c r="AZ516" s="60"/>
      <c r="BA516" s="60"/>
      <c r="BB516" s="60"/>
      <c r="BC516" s="60"/>
      <c r="BD516" s="60"/>
      <c r="BE516" s="60"/>
      <c r="BF516" s="60"/>
      <c r="BG516" s="60"/>
      <c r="BH516" s="60"/>
      <c r="BI516" s="60"/>
      <c r="BJ516" s="60"/>
      <c r="BK516" s="60"/>
    </row>
    <row r="517" spans="1:63" s="4" customFormat="1" ht="15" thickBot="1" x14ac:dyDescent="0.35">
      <c r="A517" s="60"/>
      <c r="B517" s="32"/>
      <c r="C517" s="33"/>
      <c r="D517" s="34"/>
      <c r="E517" s="33"/>
      <c r="F517" s="35"/>
      <c r="G517" s="36"/>
      <c r="H517" s="122"/>
      <c r="I517" s="123"/>
      <c r="J517" s="35"/>
      <c r="K517" s="39"/>
      <c r="L517" s="37"/>
      <c r="M517" s="123"/>
      <c r="N517" s="40"/>
      <c r="O517" s="41"/>
      <c r="P517" s="60"/>
      <c r="Q517" s="126"/>
      <c r="R517" s="126"/>
      <c r="S517" s="126"/>
      <c r="T517" s="126"/>
      <c r="U517" s="126"/>
      <c r="V517" s="126"/>
      <c r="W517" s="126"/>
      <c r="X517" s="126"/>
      <c r="Y517" s="126"/>
      <c r="Z517" s="126"/>
      <c r="AA517" s="126"/>
      <c r="AB517" s="126"/>
      <c r="AC517" s="126"/>
      <c r="AD517" s="60"/>
      <c r="AE517" s="60"/>
      <c r="AF517" s="60"/>
      <c r="AG517" s="60"/>
      <c r="AH517" s="60"/>
      <c r="AI517" s="60"/>
      <c r="AJ517" s="60"/>
      <c r="AK517" s="60"/>
      <c r="AL517" s="60"/>
      <c r="AM517" s="60"/>
      <c r="AN517" s="60"/>
      <c r="AO517" s="60"/>
      <c r="AP517" s="60"/>
      <c r="AQ517" s="60"/>
      <c r="AR517" s="60"/>
      <c r="AS517" s="60"/>
      <c r="AT517" s="60"/>
      <c r="AU517" s="60"/>
      <c r="AV517" s="60"/>
      <c r="AW517" s="60"/>
      <c r="AX517" s="60"/>
      <c r="AY517" s="60"/>
      <c r="AZ517" s="60"/>
      <c r="BA517" s="60"/>
      <c r="BB517" s="60"/>
      <c r="BC517" s="60"/>
      <c r="BD517" s="60"/>
      <c r="BE517" s="60"/>
      <c r="BF517" s="60"/>
      <c r="BG517" s="60"/>
      <c r="BH517" s="60"/>
      <c r="BI517" s="60"/>
      <c r="BJ517" s="60"/>
      <c r="BK517" s="60"/>
    </row>
    <row r="518" spans="1:63" x14ac:dyDescent="0.3">
      <c r="L518" s="88"/>
    </row>
    <row r="519" spans="1:63" x14ac:dyDescent="0.3">
      <c r="B519" s="65" t="s">
        <v>58</v>
      </c>
      <c r="F519" s="51">
        <v>3.7699999999999997E-2</v>
      </c>
      <c r="J519" s="51">
        <f>+$J$74</f>
        <v>3.7600000000000001E-2</v>
      </c>
    </row>
    <row r="521" spans="1:63" x14ac:dyDescent="0.3">
      <c r="L521" s="56"/>
      <c r="M521" s="56"/>
      <c r="N521" s="56"/>
      <c r="O521" s="56"/>
      <c r="P521" s="56"/>
    </row>
    <row r="522" spans="1:63" ht="16.2" x14ac:dyDescent="0.3">
      <c r="A522" s="121" t="s">
        <v>59</v>
      </c>
    </row>
    <row r="524" spans="1:63" x14ac:dyDescent="0.3">
      <c r="A524" s="60" t="s">
        <v>60</v>
      </c>
    </row>
    <row r="525" spans="1:63" x14ac:dyDescent="0.3">
      <c r="A525" s="60" t="s">
        <v>61</v>
      </c>
    </row>
    <row r="527" spans="1:63" x14ac:dyDescent="0.3">
      <c r="B527" s="60" t="s">
        <v>62</v>
      </c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</row>
  </sheetData>
  <mergeCells count="92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  <mergeCell ref="D89:O89"/>
    <mergeCell ref="F95:H95"/>
    <mergeCell ref="J95:L95"/>
    <mergeCell ref="N95:O95"/>
    <mergeCell ref="D96:D97"/>
    <mergeCell ref="N96:N97"/>
    <mergeCell ref="O96:O97"/>
    <mergeCell ref="B139:D139"/>
    <mergeCell ref="B140:D140"/>
    <mergeCell ref="B145:D145"/>
    <mergeCell ref="B146:D146"/>
    <mergeCell ref="D163:O163"/>
    <mergeCell ref="F169:H169"/>
    <mergeCell ref="J169:L169"/>
    <mergeCell ref="N169:O169"/>
    <mergeCell ref="D170:D171"/>
    <mergeCell ref="N170:N171"/>
    <mergeCell ref="O170:O171"/>
    <mergeCell ref="B213:D213"/>
    <mergeCell ref="B214:D214"/>
    <mergeCell ref="B219:D219"/>
    <mergeCell ref="B220:D220"/>
    <mergeCell ref="D237:O237"/>
    <mergeCell ref="F243:H243"/>
    <mergeCell ref="J243:L243"/>
    <mergeCell ref="N243:O243"/>
    <mergeCell ref="D244:D245"/>
    <mergeCell ref="N244:N245"/>
    <mergeCell ref="O244:O245"/>
    <mergeCell ref="B287:D287"/>
    <mergeCell ref="B288:D288"/>
    <mergeCell ref="B293:D293"/>
    <mergeCell ref="B294:D294"/>
    <mergeCell ref="D311:O311"/>
    <mergeCell ref="F317:H317"/>
    <mergeCell ref="J317:L317"/>
    <mergeCell ref="N317:O317"/>
    <mergeCell ref="D318:D319"/>
    <mergeCell ref="N318:N319"/>
    <mergeCell ref="O318:O319"/>
    <mergeCell ref="B361:D361"/>
    <mergeCell ref="B362:D362"/>
    <mergeCell ref="B367:D367"/>
    <mergeCell ref="B368:D368"/>
    <mergeCell ref="D385:O385"/>
    <mergeCell ref="F391:H391"/>
    <mergeCell ref="J391:L391"/>
    <mergeCell ref="N391:O391"/>
    <mergeCell ref="D392:D393"/>
    <mergeCell ref="N392:N393"/>
    <mergeCell ref="O392:O393"/>
    <mergeCell ref="B435:D435"/>
    <mergeCell ref="B436:D436"/>
    <mergeCell ref="B441:D441"/>
    <mergeCell ref="B442:D442"/>
    <mergeCell ref="D459:O459"/>
    <mergeCell ref="F465:H465"/>
    <mergeCell ref="J465:L465"/>
    <mergeCell ref="N465:O465"/>
    <mergeCell ref="D466:D467"/>
    <mergeCell ref="N466:N467"/>
    <mergeCell ref="O466:O467"/>
    <mergeCell ref="B509:D509"/>
    <mergeCell ref="B510:D510"/>
    <mergeCell ref="B515:D515"/>
    <mergeCell ref="B516:D516"/>
    <mergeCell ref="B85:O85"/>
    <mergeCell ref="B86:O86"/>
    <mergeCell ref="B159:O159"/>
    <mergeCell ref="B160:O160"/>
    <mergeCell ref="B233:O233"/>
    <mergeCell ref="B234:O234"/>
    <mergeCell ref="B307:O307"/>
    <mergeCell ref="B308:O308"/>
    <mergeCell ref="B381:O381"/>
    <mergeCell ref="B382:O382"/>
    <mergeCell ref="B455:O455"/>
    <mergeCell ref="B456:O456"/>
  </mergeCells>
  <dataValidations xWindow="382" yWindow="664" count="3">
    <dataValidation type="list" allowBlank="1" showInputMessage="1" showErrorMessage="1" sqref="D16 D91 D165 D239 D313 D387 D461">
      <formula1>"TOU, non-TOU"</formula1>
    </dataValidation>
    <dataValidation type="list" allowBlank="1" showInputMessage="1" showErrorMessage="1" sqref="E72 E66 E147 E141 E221 E215 E295 E289 E369 E363 E443 E437 E517 E511 E48:E49 E40:E46 E23:E38 E51:E60 E123:E124 E115:E121 E98:E113 E126:E135 E197:E198 E189:E195 E172:E187 E200:E209 E271:E272 E263:E269 E246:E261 E274:E283 E345:E346 E337:E343 E320:E335 E348:E357 E419:E420 E411:E417 E394:E409 E422:E431 E493:E494 E485:E491 E468:E483 E496:E505">
      <formula1>#REF!</formula1>
    </dataValidation>
    <dataValidation type="list" allowBlank="1" showInputMessage="1" showErrorMessage="1" prompt="Select Charge Unit - monthly, per kWh, per kW" sqref="D48:D49 D40:D46 D66 D23:D38 D72 D51:D60 D123:D124 D115:D121 D141 D98:D113 D147 D126:D135 D197:D198 D189:D195 D215 D172:D187 D221 D200:D209 D271:D272 D263:D269 D289 D246:D261 D295 D274:D283 D345:D346 D337:D343 D363 D320:D335 D369 D348:D357 D419:D420 D411:D417 D437 D394:D409 D443 D422:D431 D493:D494 D485:D491 D511 D468:D483 D517 D496:D505">
      <formula1>"Monthly, per kWh, per kW"</formula1>
    </dataValidation>
  </dataValidations>
  <pageMargins left="0.7" right="0.7" top="0.75" bottom="0.75" header="0.3" footer="0.3"/>
  <pageSetup scale="51" orientation="portrait" r:id="rId1"/>
  <rowBreaks count="6" manualBreakCount="6">
    <brk id="83" max="15" man="1"/>
    <brk id="158" max="15" man="1"/>
    <brk id="232" max="15" man="1"/>
    <brk id="306" max="15" man="1"/>
    <brk id="380" max="15" man="1"/>
    <brk id="454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7" r:id="rId4" name="Option Button 19">
              <controlPr defaultSize="0" autoFill="0" autoLine="0" autoPict="0">
                <anchor moveWithCells="1">
                  <from>
                    <xdr:col>6</xdr:col>
                    <xdr:colOff>480060</xdr:colOff>
                    <xdr:row>16</xdr:row>
                    <xdr:rowOff>175260</xdr:rowOff>
                  </from>
                  <to>
                    <xdr:col>9</xdr:col>
                    <xdr:colOff>60960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5" name="Option Button 20">
              <controlPr defaultSize="0" autoFill="0" autoLine="0" autoPict="0">
                <anchor moveWithCells="1">
                  <from>
                    <xdr:col>9</xdr:col>
                    <xdr:colOff>365760</xdr:colOff>
                    <xdr:row>16</xdr:row>
                    <xdr:rowOff>114300</xdr:rowOff>
                  </from>
                  <to>
                    <xdr:col>16</xdr:col>
                    <xdr:colOff>30480</xdr:colOff>
                    <xdr:row>18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6" name="Option Button 21">
              <controlPr defaultSize="0" autoFill="0" autoLine="0" autoPict="0">
                <anchor moveWithCells="1">
                  <from>
                    <xdr:col>6</xdr:col>
                    <xdr:colOff>480060</xdr:colOff>
                    <xdr:row>91</xdr:row>
                    <xdr:rowOff>175260</xdr:rowOff>
                  </from>
                  <to>
                    <xdr:col>9</xdr:col>
                    <xdr:colOff>60960</xdr:colOff>
                    <xdr:row>93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7" name="Option Button 22">
              <controlPr defaultSize="0" autoFill="0" autoLine="0" autoPict="0">
                <anchor moveWithCells="1">
                  <from>
                    <xdr:col>9</xdr:col>
                    <xdr:colOff>365760</xdr:colOff>
                    <xdr:row>91</xdr:row>
                    <xdr:rowOff>114300</xdr:rowOff>
                  </from>
                  <to>
                    <xdr:col>16</xdr:col>
                    <xdr:colOff>30480</xdr:colOff>
                    <xdr:row>93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8" name="Option Button 37">
              <controlPr defaultSize="0" autoFill="0" autoLine="0" autoPict="0">
                <anchor moveWithCells="1">
                  <from>
                    <xdr:col>6</xdr:col>
                    <xdr:colOff>480060</xdr:colOff>
                    <xdr:row>165</xdr:row>
                    <xdr:rowOff>175260</xdr:rowOff>
                  </from>
                  <to>
                    <xdr:col>9</xdr:col>
                    <xdr:colOff>60960</xdr:colOff>
                    <xdr:row>167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9" name="Option Button 38">
              <controlPr defaultSize="0" autoFill="0" autoLine="0" autoPict="0">
                <anchor moveWithCells="1">
                  <from>
                    <xdr:col>9</xdr:col>
                    <xdr:colOff>365760</xdr:colOff>
                    <xdr:row>165</xdr:row>
                    <xdr:rowOff>114300</xdr:rowOff>
                  </from>
                  <to>
                    <xdr:col>16</xdr:col>
                    <xdr:colOff>30480</xdr:colOff>
                    <xdr:row>167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0" name="Option Button 53">
              <controlPr defaultSize="0" autoFill="0" autoLine="0" autoPict="0">
                <anchor moveWithCells="1">
                  <from>
                    <xdr:col>6</xdr:col>
                    <xdr:colOff>480060</xdr:colOff>
                    <xdr:row>239</xdr:row>
                    <xdr:rowOff>175260</xdr:rowOff>
                  </from>
                  <to>
                    <xdr:col>9</xdr:col>
                    <xdr:colOff>60960</xdr:colOff>
                    <xdr:row>241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1" name="Option Button 54">
              <controlPr defaultSize="0" autoFill="0" autoLine="0" autoPict="0">
                <anchor moveWithCells="1">
                  <from>
                    <xdr:col>9</xdr:col>
                    <xdr:colOff>365760</xdr:colOff>
                    <xdr:row>239</xdr:row>
                    <xdr:rowOff>114300</xdr:rowOff>
                  </from>
                  <to>
                    <xdr:col>16</xdr:col>
                    <xdr:colOff>30480</xdr:colOff>
                    <xdr:row>241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2" name="Option Button 69">
              <controlPr defaultSize="0" autoFill="0" autoLine="0" autoPict="0">
                <anchor moveWithCells="1">
                  <from>
                    <xdr:col>6</xdr:col>
                    <xdr:colOff>480060</xdr:colOff>
                    <xdr:row>313</xdr:row>
                    <xdr:rowOff>175260</xdr:rowOff>
                  </from>
                  <to>
                    <xdr:col>9</xdr:col>
                    <xdr:colOff>60960</xdr:colOff>
                    <xdr:row>315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3" name="Option Button 70">
              <controlPr defaultSize="0" autoFill="0" autoLine="0" autoPict="0">
                <anchor moveWithCells="1">
                  <from>
                    <xdr:col>9</xdr:col>
                    <xdr:colOff>365760</xdr:colOff>
                    <xdr:row>313</xdr:row>
                    <xdr:rowOff>114300</xdr:rowOff>
                  </from>
                  <to>
                    <xdr:col>16</xdr:col>
                    <xdr:colOff>30480</xdr:colOff>
                    <xdr:row>315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4" name="Option Button 85">
              <controlPr defaultSize="0" autoFill="0" autoLine="0" autoPict="0">
                <anchor moveWithCells="1">
                  <from>
                    <xdr:col>6</xdr:col>
                    <xdr:colOff>480060</xdr:colOff>
                    <xdr:row>387</xdr:row>
                    <xdr:rowOff>175260</xdr:rowOff>
                  </from>
                  <to>
                    <xdr:col>9</xdr:col>
                    <xdr:colOff>60960</xdr:colOff>
                    <xdr:row>389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5" name="Option Button 86">
              <controlPr defaultSize="0" autoFill="0" autoLine="0" autoPict="0">
                <anchor moveWithCells="1">
                  <from>
                    <xdr:col>9</xdr:col>
                    <xdr:colOff>365760</xdr:colOff>
                    <xdr:row>387</xdr:row>
                    <xdr:rowOff>114300</xdr:rowOff>
                  </from>
                  <to>
                    <xdr:col>16</xdr:col>
                    <xdr:colOff>30480</xdr:colOff>
                    <xdr:row>389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6" name="Option Button 101">
              <controlPr defaultSize="0" autoFill="0" autoLine="0" autoPict="0">
                <anchor moveWithCells="1">
                  <from>
                    <xdr:col>6</xdr:col>
                    <xdr:colOff>480060</xdr:colOff>
                    <xdr:row>461</xdr:row>
                    <xdr:rowOff>175260</xdr:rowOff>
                  </from>
                  <to>
                    <xdr:col>9</xdr:col>
                    <xdr:colOff>60960</xdr:colOff>
                    <xdr:row>463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7" name="Option Button 102">
              <controlPr defaultSize="0" autoFill="0" autoLine="0" autoPict="0">
                <anchor moveWithCells="1">
                  <from>
                    <xdr:col>9</xdr:col>
                    <xdr:colOff>365760</xdr:colOff>
                    <xdr:row>461</xdr:row>
                    <xdr:rowOff>114300</xdr:rowOff>
                  </from>
                  <to>
                    <xdr:col>16</xdr:col>
                    <xdr:colOff>30480</xdr:colOff>
                    <xdr:row>463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382"/>
  <sheetViews>
    <sheetView view="pageBreakPreview" topLeftCell="A228" zoomScale="80" zoomScaleNormal="80" zoomScaleSheetLayoutView="80" workbookViewId="0">
      <selection activeCell="D336" sqref="D336"/>
    </sheetView>
  </sheetViews>
  <sheetFormatPr defaultColWidth="9.109375" defaultRowHeight="14.4" x14ac:dyDescent="0.3"/>
  <cols>
    <col min="1" max="1" width="2.33203125" style="60" customWidth="1"/>
    <col min="2" max="2" width="56.21875" style="60" customWidth="1"/>
    <col min="3" max="3" width="1.33203125" style="60" customWidth="1"/>
    <col min="4" max="4" width="11.33203125" style="60" customWidth="1"/>
    <col min="5" max="5" width="1.33203125" style="60" customWidth="1"/>
    <col min="6" max="6" width="12.33203125" style="60" customWidth="1"/>
    <col min="7" max="7" width="14.44140625" style="60" bestFit="1" customWidth="1"/>
    <col min="8" max="8" width="11.21875" style="60" customWidth="1"/>
    <col min="9" max="9" width="0.6640625" style="60" customWidth="1"/>
    <col min="10" max="10" width="12.109375" style="60" customWidth="1"/>
    <col min="11" max="11" width="12" style="60" customWidth="1"/>
    <col min="12" max="12" width="10.21875" style="60" customWidth="1"/>
    <col min="13" max="13" width="1.21875" style="60" customWidth="1"/>
    <col min="14" max="14" width="12.6640625" style="60" bestFit="1" customWidth="1"/>
    <col min="15" max="15" width="13.6640625" style="60" customWidth="1"/>
    <col min="16" max="16" width="0.33203125" style="60" customWidth="1"/>
    <col min="17" max="17" width="9.109375" style="60"/>
    <col min="18" max="18" width="9.109375" style="60" customWidth="1"/>
    <col min="19" max="19" width="9.109375" style="60"/>
    <col min="20" max="20" width="9.109375" style="60" customWidth="1"/>
    <col min="21" max="16384" width="9.109375" style="60"/>
  </cols>
  <sheetData>
    <row r="1" spans="1:20" s="53" customFormat="1" ht="9.6" hidden="1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N1" s="54" t="s">
        <v>0</v>
      </c>
      <c r="O1" s="55" t="s">
        <v>76</v>
      </c>
      <c r="P1" s="56"/>
      <c r="T1" s="53">
        <v>1</v>
      </c>
    </row>
    <row r="2" spans="1:20" s="53" customFormat="1" ht="9.6" hidden="1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N2" s="54" t="s">
        <v>1</v>
      </c>
      <c r="O2" s="2"/>
      <c r="P2" s="56"/>
    </row>
    <row r="3" spans="1:20" s="53" customFormat="1" ht="9.6" hidden="1" customHeigh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N3" s="54" t="s">
        <v>2</v>
      </c>
      <c r="O3" s="2"/>
      <c r="P3" s="56"/>
    </row>
    <row r="4" spans="1:20" s="53" customFormat="1" ht="9.6" hidden="1" customHeight="1" x14ac:dyDescent="0.3">
      <c r="A4" s="57"/>
      <c r="B4" s="57"/>
      <c r="C4" s="57"/>
      <c r="D4" s="57"/>
      <c r="E4" s="57"/>
      <c r="F4" s="57"/>
      <c r="G4" s="57"/>
      <c r="H4" s="57"/>
      <c r="I4" s="58"/>
      <c r="J4" s="58"/>
      <c r="K4" s="58"/>
      <c r="N4" s="54" t="s">
        <v>3</v>
      </c>
      <c r="O4" s="2"/>
      <c r="P4" s="56"/>
    </row>
    <row r="5" spans="1:20" s="53" customFormat="1" ht="9.6" hidden="1" customHeight="1" x14ac:dyDescent="0.3">
      <c r="C5" s="59"/>
      <c r="D5" s="59"/>
      <c r="E5" s="59"/>
      <c r="N5" s="54" t="s">
        <v>4</v>
      </c>
      <c r="O5" s="3"/>
      <c r="P5" s="56"/>
    </row>
    <row r="6" spans="1:20" s="53" customFormat="1" ht="9.6" hidden="1" customHeight="1" x14ac:dyDescent="0.3">
      <c r="N6" s="54"/>
      <c r="O6" s="1"/>
      <c r="P6" s="56"/>
    </row>
    <row r="7" spans="1:20" s="53" customFormat="1" hidden="1" x14ac:dyDescent="0.3">
      <c r="N7" s="54" t="s">
        <v>5</v>
      </c>
      <c r="O7" s="3"/>
      <c r="P7" s="56"/>
    </row>
    <row r="8" spans="1:20" s="53" customFormat="1" ht="15" hidden="1" customHeight="1" x14ac:dyDescent="0.3">
      <c r="N8" s="60"/>
      <c r="O8" s="56"/>
      <c r="P8" s="56"/>
    </row>
    <row r="9" spans="1:20" ht="7.5" customHeight="1" x14ac:dyDescent="0.3">
      <c r="L9" s="56"/>
      <c r="M9" s="56"/>
      <c r="N9" s="56"/>
      <c r="O9" s="56"/>
      <c r="P9" s="56"/>
    </row>
    <row r="10" spans="1:20" ht="18.75" customHeight="1" x14ac:dyDescent="0.3">
      <c r="B10" s="175" t="s">
        <v>6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56"/>
    </row>
    <row r="11" spans="1:20" ht="19.2" customHeight="1" x14ac:dyDescent="0.3">
      <c r="B11" s="175" t="s">
        <v>7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56"/>
    </row>
    <row r="12" spans="1:20" ht="7.5" customHeight="1" x14ac:dyDescent="0.3">
      <c r="L12" s="56"/>
      <c r="M12" s="56"/>
      <c r="N12" s="56"/>
      <c r="O12" s="56"/>
      <c r="P12" s="56"/>
    </row>
    <row r="13" spans="1:20" ht="7.5" customHeight="1" x14ac:dyDescent="0.3">
      <c r="L13" s="56"/>
      <c r="M13" s="56"/>
      <c r="N13" s="56"/>
      <c r="O13" s="56"/>
      <c r="P13" s="56"/>
    </row>
    <row r="14" spans="1:20" ht="15.6" x14ac:dyDescent="0.3">
      <c r="B14" s="61" t="s">
        <v>8</v>
      </c>
      <c r="D14" s="185" t="s">
        <v>65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</row>
    <row r="15" spans="1:20" ht="7.5" customHeight="1" x14ac:dyDescent="0.3">
      <c r="B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20" ht="15.6" x14ac:dyDescent="0.3">
      <c r="B16" s="61" t="s">
        <v>9</v>
      </c>
      <c r="D16" s="5" t="s">
        <v>10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pans="2:29" ht="15.6" x14ac:dyDescent="0.3">
      <c r="B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2:29" ht="15" customHeight="1" x14ac:dyDescent="0.3">
      <c r="B18" s="64"/>
      <c r="D18" s="65" t="s">
        <v>11</v>
      </c>
      <c r="E18" s="65"/>
      <c r="F18" s="6">
        <v>2000</v>
      </c>
      <c r="G18" s="65" t="s">
        <v>12</v>
      </c>
    </row>
    <row r="19" spans="2:29" x14ac:dyDescent="0.3">
      <c r="B19" s="64"/>
      <c r="G19" s="65"/>
    </row>
    <row r="20" spans="2:29" x14ac:dyDescent="0.3">
      <c r="B20" s="64"/>
      <c r="D20" s="66"/>
      <c r="E20" s="66"/>
      <c r="F20" s="176" t="s">
        <v>13</v>
      </c>
      <c r="G20" s="177"/>
      <c r="H20" s="178"/>
      <c r="J20" s="176" t="s">
        <v>14</v>
      </c>
      <c r="K20" s="177"/>
      <c r="L20" s="178"/>
      <c r="N20" s="176" t="s">
        <v>15</v>
      </c>
      <c r="O20" s="178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</row>
    <row r="21" spans="2:29" x14ac:dyDescent="0.3">
      <c r="B21" s="64"/>
      <c r="D21" s="179" t="s">
        <v>16</v>
      </c>
      <c r="E21" s="67"/>
      <c r="F21" s="68" t="s">
        <v>17</v>
      </c>
      <c r="G21" s="68" t="s">
        <v>18</v>
      </c>
      <c r="H21" s="69" t="s">
        <v>19</v>
      </c>
      <c r="J21" s="68" t="s">
        <v>17</v>
      </c>
      <c r="K21" s="70" t="s">
        <v>18</v>
      </c>
      <c r="L21" s="69" t="s">
        <v>19</v>
      </c>
      <c r="N21" s="181" t="s">
        <v>20</v>
      </c>
      <c r="O21" s="183" t="s">
        <v>21</v>
      </c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</row>
    <row r="22" spans="2:29" x14ac:dyDescent="0.3">
      <c r="B22" s="64"/>
      <c r="D22" s="180"/>
      <c r="E22" s="67"/>
      <c r="F22" s="71" t="s">
        <v>22</v>
      </c>
      <c r="G22" s="71"/>
      <c r="H22" s="72" t="s">
        <v>22</v>
      </c>
      <c r="J22" s="71" t="s">
        <v>22</v>
      </c>
      <c r="K22" s="72"/>
      <c r="L22" s="72" t="s">
        <v>22</v>
      </c>
      <c r="N22" s="182"/>
      <c r="O22" s="184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</row>
    <row r="23" spans="2:29" x14ac:dyDescent="0.3">
      <c r="B23" s="73" t="s">
        <v>23</v>
      </c>
      <c r="C23" s="73"/>
      <c r="D23" s="7" t="s">
        <v>24</v>
      </c>
      <c r="E23" s="73"/>
      <c r="F23" s="129">
        <v>32.24</v>
      </c>
      <c r="G23" s="74">
        <v>1</v>
      </c>
      <c r="H23" s="75">
        <f t="shared" ref="H23:H38" si="0">G23*F23</f>
        <v>32.24</v>
      </c>
      <c r="I23" s="76"/>
      <c r="J23" s="129">
        <v>34.71</v>
      </c>
      <c r="K23" s="77">
        <v>1</v>
      </c>
      <c r="L23" s="75">
        <f t="shared" ref="L23:L38" si="1">K23*J23</f>
        <v>34.71</v>
      </c>
      <c r="M23" s="76"/>
      <c r="N23" s="78">
        <f t="shared" ref="N23:N59" si="2">L23-H23</f>
        <v>2.4699999999999989</v>
      </c>
      <c r="O23" s="79">
        <f t="shared" ref="O23:O45" si="3">IF((H23)=0,"",(N23/H23))</f>
        <v>7.6612903225806411E-2</v>
      </c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</row>
    <row r="24" spans="2:29" x14ac:dyDescent="0.3">
      <c r="B24" s="73" t="s">
        <v>25</v>
      </c>
      <c r="C24" s="73"/>
      <c r="D24" s="7" t="s">
        <v>24</v>
      </c>
      <c r="E24" s="73"/>
      <c r="F24" s="133">
        <v>7.33</v>
      </c>
      <c r="G24" s="74">
        <v>1</v>
      </c>
      <c r="H24" s="136">
        <f t="shared" si="0"/>
        <v>7.33</v>
      </c>
      <c r="I24" s="76"/>
      <c r="J24" s="130"/>
      <c r="K24" s="77">
        <v>1</v>
      </c>
      <c r="L24" s="136">
        <f t="shared" si="1"/>
        <v>0</v>
      </c>
      <c r="M24" s="76"/>
      <c r="N24" s="137">
        <f t="shared" si="2"/>
        <v>-7.33</v>
      </c>
      <c r="O24" s="79">
        <f t="shared" si="3"/>
        <v>-1</v>
      </c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</row>
    <row r="25" spans="2:29" x14ac:dyDescent="0.3">
      <c r="B25" s="9"/>
      <c r="C25" s="73"/>
      <c r="D25" s="7"/>
      <c r="E25" s="73"/>
      <c r="F25" s="134"/>
      <c r="G25" s="74">
        <v>1</v>
      </c>
      <c r="H25" s="136">
        <f t="shared" si="0"/>
        <v>0</v>
      </c>
      <c r="I25" s="76"/>
      <c r="J25" s="131"/>
      <c r="K25" s="77">
        <v>1</v>
      </c>
      <c r="L25" s="136">
        <f t="shared" si="1"/>
        <v>0</v>
      </c>
      <c r="M25" s="76"/>
      <c r="N25" s="137">
        <f t="shared" si="2"/>
        <v>0</v>
      </c>
      <c r="O25" s="79" t="str">
        <f t="shared" si="3"/>
        <v/>
      </c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</row>
    <row r="26" spans="2:29" x14ac:dyDescent="0.3">
      <c r="B26" s="9"/>
      <c r="C26" s="73"/>
      <c r="D26" s="7"/>
      <c r="E26" s="73"/>
      <c r="F26" s="134"/>
      <c r="G26" s="74">
        <v>1</v>
      </c>
      <c r="H26" s="136">
        <f t="shared" si="0"/>
        <v>0</v>
      </c>
      <c r="I26" s="76"/>
      <c r="J26" s="131"/>
      <c r="K26" s="77">
        <v>1</v>
      </c>
      <c r="L26" s="136">
        <f t="shared" si="1"/>
        <v>0</v>
      </c>
      <c r="M26" s="76"/>
      <c r="N26" s="137">
        <f t="shared" si="2"/>
        <v>0</v>
      </c>
      <c r="O26" s="79" t="str">
        <f t="shared" si="3"/>
        <v/>
      </c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</row>
    <row r="27" spans="2:29" x14ac:dyDescent="0.3">
      <c r="B27" s="10"/>
      <c r="C27" s="73"/>
      <c r="D27" s="7"/>
      <c r="E27" s="73"/>
      <c r="F27" s="134"/>
      <c r="G27" s="74">
        <v>1</v>
      </c>
      <c r="H27" s="136">
        <f t="shared" si="0"/>
        <v>0</v>
      </c>
      <c r="I27" s="76"/>
      <c r="J27" s="131"/>
      <c r="K27" s="77">
        <v>1</v>
      </c>
      <c r="L27" s="136">
        <f t="shared" si="1"/>
        <v>0</v>
      </c>
      <c r="M27" s="76"/>
      <c r="N27" s="137">
        <f t="shared" si="2"/>
        <v>0</v>
      </c>
      <c r="O27" s="79" t="str">
        <f t="shared" si="3"/>
        <v/>
      </c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</row>
    <row r="28" spans="2:29" x14ac:dyDescent="0.3">
      <c r="B28" s="10"/>
      <c r="C28" s="73"/>
      <c r="D28" s="7"/>
      <c r="E28" s="73"/>
      <c r="F28" s="134"/>
      <c r="G28" s="74">
        <v>1</v>
      </c>
      <c r="H28" s="136">
        <f t="shared" si="0"/>
        <v>0</v>
      </c>
      <c r="I28" s="76"/>
      <c r="J28" s="131"/>
      <c r="K28" s="77">
        <v>1</v>
      </c>
      <c r="L28" s="136">
        <f t="shared" si="1"/>
        <v>0</v>
      </c>
      <c r="M28" s="76"/>
      <c r="N28" s="137">
        <f t="shared" si="2"/>
        <v>0</v>
      </c>
      <c r="O28" s="79" t="str">
        <f t="shared" si="3"/>
        <v/>
      </c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</row>
    <row r="29" spans="2:29" x14ac:dyDescent="0.3">
      <c r="B29" s="73" t="s">
        <v>26</v>
      </c>
      <c r="C29" s="73"/>
      <c r="D29" s="7" t="s">
        <v>27</v>
      </c>
      <c r="E29" s="73"/>
      <c r="F29" s="135">
        <v>1.4200000000000001E-2</v>
      </c>
      <c r="G29" s="74">
        <f>$F18</f>
        <v>2000</v>
      </c>
      <c r="H29" s="136">
        <f t="shared" si="0"/>
        <v>28.400000000000002</v>
      </c>
      <c r="I29" s="76"/>
      <c r="J29" s="132">
        <v>1.5299999999999999E-2</v>
      </c>
      <c r="K29" s="74">
        <f>$F18</f>
        <v>2000</v>
      </c>
      <c r="L29" s="136">
        <f t="shared" si="1"/>
        <v>30.599999999999998</v>
      </c>
      <c r="M29" s="76"/>
      <c r="N29" s="137">
        <f t="shared" si="2"/>
        <v>2.1999999999999957</v>
      </c>
      <c r="O29" s="79">
        <f t="shared" si="3"/>
        <v>7.7464788732394207E-2</v>
      </c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</row>
    <row r="30" spans="2:29" x14ac:dyDescent="0.3">
      <c r="B30" s="73" t="s">
        <v>28</v>
      </c>
      <c r="C30" s="73"/>
      <c r="D30" s="7" t="s">
        <v>24</v>
      </c>
      <c r="E30" s="73"/>
      <c r="F30" s="135">
        <v>4.63</v>
      </c>
      <c r="G30" s="74">
        <v>1</v>
      </c>
      <c r="H30" s="136">
        <f t="shared" si="0"/>
        <v>4.63</v>
      </c>
      <c r="I30" s="76"/>
      <c r="J30" s="132"/>
      <c r="K30" s="74">
        <v>1</v>
      </c>
      <c r="L30" s="136">
        <f t="shared" si="1"/>
        <v>0</v>
      </c>
      <c r="M30" s="76"/>
      <c r="N30" s="137">
        <f t="shared" si="2"/>
        <v>-4.63</v>
      </c>
      <c r="O30" s="79">
        <f t="shared" si="3"/>
        <v>-1</v>
      </c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</row>
    <row r="31" spans="2:29" x14ac:dyDescent="0.3">
      <c r="B31" s="73" t="s">
        <v>29</v>
      </c>
      <c r="C31" s="73"/>
      <c r="D31" s="7" t="s">
        <v>27</v>
      </c>
      <c r="E31" s="73"/>
      <c r="F31" s="135">
        <v>0</v>
      </c>
      <c r="G31" s="74">
        <f>$F18</f>
        <v>2000</v>
      </c>
      <c r="H31" s="136">
        <f t="shared" si="0"/>
        <v>0</v>
      </c>
      <c r="I31" s="76"/>
      <c r="J31" s="171">
        <v>0</v>
      </c>
      <c r="K31" s="74">
        <f>$F18</f>
        <v>2000</v>
      </c>
      <c r="L31" s="136">
        <f t="shared" si="1"/>
        <v>0</v>
      </c>
      <c r="M31" s="76"/>
      <c r="N31" s="137">
        <f t="shared" si="2"/>
        <v>0</v>
      </c>
      <c r="O31" s="79" t="str">
        <f t="shared" si="3"/>
        <v/>
      </c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</row>
    <row r="32" spans="2:29" x14ac:dyDescent="0.3">
      <c r="B32" s="11" t="s">
        <v>30</v>
      </c>
      <c r="C32" s="73"/>
      <c r="D32" s="7" t="s">
        <v>27</v>
      </c>
      <c r="E32" s="73"/>
      <c r="F32" s="135">
        <v>1.5E-3</v>
      </c>
      <c r="G32" s="74">
        <f>$F18</f>
        <v>2000</v>
      </c>
      <c r="H32" s="136">
        <f t="shared" si="0"/>
        <v>3</v>
      </c>
      <c r="I32" s="76"/>
      <c r="J32" s="132"/>
      <c r="K32" s="74">
        <f>$F18</f>
        <v>2000</v>
      </c>
      <c r="L32" s="136">
        <f t="shared" si="1"/>
        <v>0</v>
      </c>
      <c r="M32" s="76"/>
      <c r="N32" s="137">
        <f t="shared" si="2"/>
        <v>-3</v>
      </c>
      <c r="O32" s="79">
        <f t="shared" si="3"/>
        <v>-1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</row>
    <row r="33" spans="1:63" x14ac:dyDescent="0.3">
      <c r="B33" s="11" t="s">
        <v>31</v>
      </c>
      <c r="C33" s="73"/>
      <c r="D33" s="7" t="s">
        <v>27</v>
      </c>
      <c r="E33" s="73"/>
      <c r="F33" s="135">
        <v>-2.9999999999999997E-4</v>
      </c>
      <c r="G33" s="74">
        <f>$F18</f>
        <v>2000</v>
      </c>
      <c r="H33" s="136">
        <f t="shared" si="0"/>
        <v>-0.6</v>
      </c>
      <c r="I33" s="76"/>
      <c r="J33" s="132"/>
      <c r="K33" s="74">
        <f>$F18</f>
        <v>2000</v>
      </c>
      <c r="L33" s="136">
        <f t="shared" si="1"/>
        <v>0</v>
      </c>
      <c r="M33" s="76"/>
      <c r="N33" s="137">
        <f t="shared" si="2"/>
        <v>0.6</v>
      </c>
      <c r="O33" s="79">
        <f t="shared" si="3"/>
        <v>-1</v>
      </c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</row>
    <row r="34" spans="1:63" x14ac:dyDescent="0.3">
      <c r="B34" s="11" t="s">
        <v>32</v>
      </c>
      <c r="C34" s="73"/>
      <c r="D34" s="7" t="s">
        <v>24</v>
      </c>
      <c r="E34" s="73"/>
      <c r="F34" s="135"/>
      <c r="G34" s="74">
        <v>1</v>
      </c>
      <c r="H34" s="136">
        <f t="shared" si="0"/>
        <v>0</v>
      </c>
      <c r="I34" s="76"/>
      <c r="J34" s="171">
        <v>2.27</v>
      </c>
      <c r="K34" s="74">
        <v>1</v>
      </c>
      <c r="L34" s="136">
        <f t="shared" si="1"/>
        <v>2.27</v>
      </c>
      <c r="M34" s="76"/>
      <c r="N34" s="137">
        <f t="shared" si="2"/>
        <v>2.27</v>
      </c>
      <c r="O34" s="79" t="str">
        <f t="shared" si="3"/>
        <v/>
      </c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</row>
    <row r="35" spans="1:63" x14ac:dyDescent="0.3">
      <c r="B35" s="12" t="str">
        <f>+Residential!$B$35</f>
        <v>Rate Rider for Disposition of Account 1576</v>
      </c>
      <c r="C35" s="73"/>
      <c r="D35" s="7" t="s">
        <v>27</v>
      </c>
      <c r="E35" s="73"/>
      <c r="F35" s="134"/>
      <c r="G35" s="74">
        <f>$F18</f>
        <v>2000</v>
      </c>
      <c r="H35" s="136">
        <f t="shared" si="0"/>
        <v>0</v>
      </c>
      <c r="I35" s="76"/>
      <c r="J35" s="171">
        <v>-5.9999999999999995E-4</v>
      </c>
      <c r="K35" s="74">
        <f>$F18</f>
        <v>2000</v>
      </c>
      <c r="L35" s="136">
        <f t="shared" si="1"/>
        <v>-1.2</v>
      </c>
      <c r="M35" s="76"/>
      <c r="N35" s="137">
        <f t="shared" si="2"/>
        <v>-1.2</v>
      </c>
      <c r="O35" s="79" t="str">
        <f t="shared" si="3"/>
        <v/>
      </c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</row>
    <row r="36" spans="1:63" x14ac:dyDescent="0.3">
      <c r="B36" s="12" t="str">
        <f>+Residential!$B$36</f>
        <v xml:space="preserve">Rate Rider for Disposition of CGAAP CWIP differential </v>
      </c>
      <c r="C36" s="73"/>
      <c r="D36" s="7" t="s">
        <v>27</v>
      </c>
      <c r="E36" s="73"/>
      <c r="F36" s="134"/>
      <c r="G36" s="74">
        <f>$F18</f>
        <v>2000</v>
      </c>
      <c r="H36" s="136">
        <f t="shared" si="0"/>
        <v>0</v>
      </c>
      <c r="I36" s="76"/>
      <c r="J36" s="171">
        <v>2.9999999999999997E-4</v>
      </c>
      <c r="K36" s="74">
        <f>$F18</f>
        <v>2000</v>
      </c>
      <c r="L36" s="136">
        <f t="shared" si="1"/>
        <v>0.6</v>
      </c>
      <c r="M36" s="76"/>
      <c r="N36" s="137">
        <f t="shared" si="2"/>
        <v>0.6</v>
      </c>
      <c r="O36" s="79" t="str">
        <f t="shared" si="3"/>
        <v/>
      </c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</row>
    <row r="37" spans="1:63" x14ac:dyDescent="0.3">
      <c r="B37" s="12" t="str">
        <f>+Residential!$B$37</f>
        <v xml:space="preserve">Rate Rider for Disposition of Incremental Capital Expenditures </v>
      </c>
      <c r="C37" s="73"/>
      <c r="D37" s="7" t="s">
        <v>27</v>
      </c>
      <c r="E37" s="73"/>
      <c r="F37" s="131"/>
      <c r="G37" s="74">
        <f>$F18</f>
        <v>2000</v>
      </c>
      <c r="H37" s="136">
        <f t="shared" si="0"/>
        <v>0</v>
      </c>
      <c r="I37" s="76"/>
      <c r="J37" s="171">
        <v>2.0000000000000001E-4</v>
      </c>
      <c r="K37" s="74">
        <f>$F18</f>
        <v>2000</v>
      </c>
      <c r="L37" s="136">
        <f t="shared" si="1"/>
        <v>0.4</v>
      </c>
      <c r="M37" s="76"/>
      <c r="N37" s="137">
        <f t="shared" si="2"/>
        <v>0.4</v>
      </c>
      <c r="O37" s="79" t="str">
        <f t="shared" si="3"/>
        <v/>
      </c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</row>
    <row r="38" spans="1:63" x14ac:dyDescent="0.3">
      <c r="B38" s="12"/>
      <c r="C38" s="73"/>
      <c r="D38" s="7"/>
      <c r="E38" s="73"/>
      <c r="F38" s="131"/>
      <c r="G38" s="74">
        <f>$F18</f>
        <v>2000</v>
      </c>
      <c r="H38" s="136">
        <f t="shared" si="0"/>
        <v>0</v>
      </c>
      <c r="I38" s="76"/>
      <c r="J38" s="131"/>
      <c r="K38" s="74">
        <f>$F18</f>
        <v>2000</v>
      </c>
      <c r="L38" s="136">
        <f t="shared" si="1"/>
        <v>0</v>
      </c>
      <c r="M38" s="76"/>
      <c r="N38" s="137">
        <f t="shared" si="2"/>
        <v>0</v>
      </c>
      <c r="O38" s="79" t="str">
        <f t="shared" si="3"/>
        <v/>
      </c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</row>
    <row r="39" spans="1:63" s="4" customFormat="1" x14ac:dyDescent="0.3">
      <c r="A39" s="60"/>
      <c r="B39" s="19" t="s">
        <v>33</v>
      </c>
      <c r="C39" s="20"/>
      <c r="D39" s="20"/>
      <c r="E39" s="20"/>
      <c r="F39" s="21"/>
      <c r="G39" s="22"/>
      <c r="H39" s="23">
        <f>SUM(H23:H38)</f>
        <v>75</v>
      </c>
      <c r="I39" s="13"/>
      <c r="J39" s="14"/>
      <c r="K39" s="24"/>
      <c r="L39" s="23">
        <f>SUM(L23:L38)</f>
        <v>67.38</v>
      </c>
      <c r="M39" s="13"/>
      <c r="N39" s="15">
        <f t="shared" si="2"/>
        <v>-7.6200000000000045</v>
      </c>
      <c r="O39" s="16">
        <f t="shared" si="3"/>
        <v>-0.10160000000000007</v>
      </c>
      <c r="P39" s="60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</row>
    <row r="40" spans="1:63" x14ac:dyDescent="0.3">
      <c r="B40" s="17" t="s">
        <v>34</v>
      </c>
      <c r="C40" s="73"/>
      <c r="D40" s="7" t="s">
        <v>27</v>
      </c>
      <c r="E40" s="73"/>
      <c r="F40" s="135">
        <v>2.9999999999999997E-4</v>
      </c>
      <c r="G40" s="74">
        <f>$F18</f>
        <v>2000</v>
      </c>
      <c r="H40" s="136">
        <f t="shared" ref="H40:H46" si="4">G40*F40</f>
        <v>0.6</v>
      </c>
      <c r="I40" s="76"/>
      <c r="J40" s="171">
        <v>-6.9999999999999999E-4</v>
      </c>
      <c r="K40" s="74">
        <f>$F18</f>
        <v>2000</v>
      </c>
      <c r="L40" s="136">
        <f t="shared" ref="L40:L46" si="5">K40*J40</f>
        <v>-1.4</v>
      </c>
      <c r="M40" s="76"/>
      <c r="N40" s="137">
        <f t="shared" si="2"/>
        <v>-2</v>
      </c>
      <c r="O40" s="79">
        <f t="shared" si="3"/>
        <v>-3.3333333333333335</v>
      </c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</row>
    <row r="41" spans="1:63" x14ac:dyDescent="0.3">
      <c r="B41" s="17"/>
      <c r="C41" s="73"/>
      <c r="D41" s="7"/>
      <c r="E41" s="73"/>
      <c r="F41" s="8"/>
      <c r="G41" s="74">
        <f>$F18</f>
        <v>2000</v>
      </c>
      <c r="H41" s="136">
        <f t="shared" si="4"/>
        <v>0</v>
      </c>
      <c r="I41" s="82"/>
      <c r="J41" s="8"/>
      <c r="K41" s="74">
        <f>$F18</f>
        <v>2000</v>
      </c>
      <c r="L41" s="136">
        <f t="shared" si="5"/>
        <v>0</v>
      </c>
      <c r="M41" s="83"/>
      <c r="N41" s="137">
        <f t="shared" si="2"/>
        <v>0</v>
      </c>
      <c r="O41" s="79" t="str">
        <f t="shared" si="3"/>
        <v/>
      </c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</row>
    <row r="42" spans="1:63" x14ac:dyDescent="0.3">
      <c r="B42" s="17"/>
      <c r="C42" s="73"/>
      <c r="D42" s="7"/>
      <c r="E42" s="73"/>
      <c r="F42" s="8"/>
      <c r="G42" s="74">
        <f>$F18</f>
        <v>2000</v>
      </c>
      <c r="H42" s="136">
        <f t="shared" si="4"/>
        <v>0</v>
      </c>
      <c r="I42" s="82"/>
      <c r="J42" s="8"/>
      <c r="K42" s="74">
        <f>$F18</f>
        <v>2000</v>
      </c>
      <c r="L42" s="136">
        <f t="shared" si="5"/>
        <v>0</v>
      </c>
      <c r="M42" s="83"/>
      <c r="N42" s="137">
        <f t="shared" si="2"/>
        <v>0</v>
      </c>
      <c r="O42" s="79" t="str">
        <f t="shared" si="3"/>
        <v/>
      </c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</row>
    <row r="43" spans="1:63" x14ac:dyDescent="0.3">
      <c r="B43" s="17"/>
      <c r="C43" s="73"/>
      <c r="D43" s="7"/>
      <c r="E43" s="73"/>
      <c r="F43" s="8"/>
      <c r="G43" s="74">
        <f>$F18</f>
        <v>2000</v>
      </c>
      <c r="H43" s="136">
        <f t="shared" si="4"/>
        <v>0</v>
      </c>
      <c r="I43" s="82"/>
      <c r="J43" s="8"/>
      <c r="K43" s="74">
        <f>$F18</f>
        <v>2000</v>
      </c>
      <c r="L43" s="136">
        <f t="shared" si="5"/>
        <v>0</v>
      </c>
      <c r="M43" s="83"/>
      <c r="N43" s="137">
        <f t="shared" si="2"/>
        <v>0</v>
      </c>
      <c r="O43" s="79" t="str">
        <f t="shared" si="3"/>
        <v/>
      </c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</row>
    <row r="44" spans="1:63" x14ac:dyDescent="0.3">
      <c r="B44" s="80" t="s">
        <v>35</v>
      </c>
      <c r="C44" s="73"/>
      <c r="D44" s="7" t="s">
        <v>27</v>
      </c>
      <c r="E44" s="73"/>
      <c r="F44" s="135">
        <v>2.0000000000000001E-4</v>
      </c>
      <c r="G44" s="74">
        <f>$F18</f>
        <v>2000</v>
      </c>
      <c r="H44" s="136">
        <f t="shared" si="4"/>
        <v>0.4</v>
      </c>
      <c r="I44" s="76"/>
      <c r="J44" s="171">
        <v>2.9999999999999997E-4</v>
      </c>
      <c r="K44" s="74">
        <f>$F18</f>
        <v>2000</v>
      </c>
      <c r="L44" s="136">
        <f t="shared" si="5"/>
        <v>0.6</v>
      </c>
      <c r="M44" s="76"/>
      <c r="N44" s="137">
        <f t="shared" si="2"/>
        <v>0.19999999999999996</v>
      </c>
      <c r="O44" s="79">
        <f t="shared" si="3"/>
        <v>0.49999999999999989</v>
      </c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</row>
    <row r="45" spans="1:63" x14ac:dyDescent="0.3">
      <c r="B45" s="80" t="s">
        <v>36</v>
      </c>
      <c r="C45" s="73"/>
      <c r="D45" s="7" t="s">
        <v>27</v>
      </c>
      <c r="E45" s="73"/>
      <c r="F45" s="138">
        <f>IF(ISBLANK(D16)=TRUE, 0, IF(D16="TOU", 0.64*$F55+0.18*$F56+0.18*$F57, IF(AND(D16="non-TOU", G59&gt;0), F59,F58)))</f>
        <v>8.3919999999999995E-2</v>
      </c>
      <c r="G45" s="18">
        <f>$F18*(1+$F74)-$F18</f>
        <v>75.400000000000091</v>
      </c>
      <c r="H45" s="136">
        <f t="shared" si="4"/>
        <v>6.3275680000000074</v>
      </c>
      <c r="I45" s="76"/>
      <c r="J45" s="138">
        <f>0.64*$F55+0.18*$F56+0.18*$F57</f>
        <v>8.3919999999999995E-2</v>
      </c>
      <c r="K45" s="18">
        <f>$F18*(1+$J74)-$F18</f>
        <v>75.200000000000273</v>
      </c>
      <c r="L45" s="136">
        <f t="shared" si="5"/>
        <v>6.3107840000000222</v>
      </c>
      <c r="M45" s="76"/>
      <c r="N45" s="137">
        <f t="shared" si="2"/>
        <v>-1.6783999999985255E-2</v>
      </c>
      <c r="O45" s="79">
        <f t="shared" si="3"/>
        <v>-2.6525198938968709E-3</v>
      </c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</row>
    <row r="46" spans="1:63" x14ac:dyDescent="0.3">
      <c r="B46" s="80" t="s">
        <v>37</v>
      </c>
      <c r="C46" s="73"/>
      <c r="D46" s="7" t="s">
        <v>24</v>
      </c>
      <c r="E46" s="73"/>
      <c r="F46" s="138">
        <v>0.79</v>
      </c>
      <c r="G46" s="74">
        <v>1</v>
      </c>
      <c r="H46" s="136">
        <f t="shared" si="4"/>
        <v>0.79</v>
      </c>
      <c r="I46" s="76"/>
      <c r="J46" s="138">
        <v>0.79</v>
      </c>
      <c r="K46" s="81">
        <v>1</v>
      </c>
      <c r="L46" s="136">
        <f t="shared" si="5"/>
        <v>0.79</v>
      </c>
      <c r="M46" s="76"/>
      <c r="N46" s="137">
        <f t="shared" si="2"/>
        <v>0</v>
      </c>
      <c r="O46" s="79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</row>
    <row r="47" spans="1:63" s="4" customFormat="1" ht="26.4" x14ac:dyDescent="0.3">
      <c r="A47" s="60"/>
      <c r="B47" s="19" t="s">
        <v>38</v>
      </c>
      <c r="C47" s="20"/>
      <c r="D47" s="20"/>
      <c r="E47" s="20"/>
      <c r="F47" s="21"/>
      <c r="G47" s="22"/>
      <c r="H47" s="23">
        <f>SUM(H40:H46)+H39</f>
        <v>83.117568000000006</v>
      </c>
      <c r="I47" s="13"/>
      <c r="J47" s="22"/>
      <c r="K47" s="24"/>
      <c r="L47" s="23">
        <f>SUM(L40:L46)+L39</f>
        <v>73.680784000000017</v>
      </c>
      <c r="M47" s="13"/>
      <c r="N47" s="15">
        <f t="shared" si="2"/>
        <v>-9.4367839999999887</v>
      </c>
      <c r="O47" s="16">
        <f t="shared" ref="O47:O59" si="6">IF((H47)=0,"",(N47/H47))</f>
        <v>-0.11353537196853483</v>
      </c>
      <c r="P47" s="60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</row>
    <row r="48" spans="1:63" x14ac:dyDescent="0.3">
      <c r="B48" s="76" t="s">
        <v>39</v>
      </c>
      <c r="C48" s="76"/>
      <c r="D48" s="25" t="s">
        <v>27</v>
      </c>
      <c r="E48" s="76"/>
      <c r="F48" s="135">
        <v>7.4000000000000003E-3</v>
      </c>
      <c r="G48" s="18">
        <f>F18*(1+F74)</f>
        <v>2075.4</v>
      </c>
      <c r="H48" s="136">
        <f>G48*F48</f>
        <v>15.357960000000002</v>
      </c>
      <c r="I48" s="76"/>
      <c r="J48" s="135">
        <v>7.3000000000000001E-3</v>
      </c>
      <c r="K48" s="18">
        <f>F18*(1+J74)</f>
        <v>2075.2000000000003</v>
      </c>
      <c r="L48" s="136">
        <f>K48*J48</f>
        <v>15.148960000000002</v>
      </c>
      <c r="M48" s="76"/>
      <c r="N48" s="136">
        <f t="shared" si="2"/>
        <v>-0.20899999999999963</v>
      </c>
      <c r="O48" s="79">
        <f t="shared" si="6"/>
        <v>-1.36085782226285E-2</v>
      </c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</row>
    <row r="49" spans="1:63" x14ac:dyDescent="0.3">
      <c r="B49" s="85" t="s">
        <v>40</v>
      </c>
      <c r="C49" s="76"/>
      <c r="D49" s="25" t="s">
        <v>27</v>
      </c>
      <c r="E49" s="76"/>
      <c r="F49" s="135">
        <v>5.0000000000000001E-3</v>
      </c>
      <c r="G49" s="18">
        <f>G48</f>
        <v>2075.4</v>
      </c>
      <c r="H49" s="136">
        <f>G49*F49</f>
        <v>10.377000000000001</v>
      </c>
      <c r="I49" s="76"/>
      <c r="J49" s="135">
        <v>4.7999999999999996E-3</v>
      </c>
      <c r="K49" s="18">
        <f>K48</f>
        <v>2075.2000000000003</v>
      </c>
      <c r="L49" s="136">
        <f>K49*J49</f>
        <v>9.96096</v>
      </c>
      <c r="M49" s="76"/>
      <c r="N49" s="136">
        <f t="shared" si="2"/>
        <v>-0.41604000000000063</v>
      </c>
      <c r="O49" s="79">
        <f t="shared" si="6"/>
        <v>-4.0092512286788146E-2</v>
      </c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</row>
    <row r="50" spans="1:63" s="4" customFormat="1" x14ac:dyDescent="0.3">
      <c r="A50" s="60"/>
      <c r="B50" s="19" t="s">
        <v>41</v>
      </c>
      <c r="C50" s="20"/>
      <c r="D50" s="20"/>
      <c r="E50" s="20"/>
      <c r="F50" s="21"/>
      <c r="G50" s="22"/>
      <c r="H50" s="23">
        <f>SUM(H47:H49)</f>
        <v>108.85252800000001</v>
      </c>
      <c r="I50" s="13"/>
      <c r="J50" s="26"/>
      <c r="K50" s="22"/>
      <c r="L50" s="23">
        <f>SUM(L47:L49)</f>
        <v>98.790704000000019</v>
      </c>
      <c r="M50" s="13"/>
      <c r="N50" s="15">
        <f t="shared" si="2"/>
        <v>-10.061823999999987</v>
      </c>
      <c r="O50" s="16">
        <f t="shared" si="6"/>
        <v>-9.2435372745775707E-2</v>
      </c>
      <c r="P50" s="60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</row>
    <row r="51" spans="1:63" x14ac:dyDescent="0.3">
      <c r="B51" s="86" t="s">
        <v>42</v>
      </c>
      <c r="C51" s="73"/>
      <c r="D51" s="7" t="s">
        <v>27</v>
      </c>
      <c r="E51" s="73"/>
      <c r="F51" s="135">
        <v>4.4000000000000003E-3</v>
      </c>
      <c r="G51" s="18">
        <f>G49</f>
        <v>2075.4</v>
      </c>
      <c r="H51" s="139">
        <f t="shared" ref="H51:H59" si="7">G51*F51</f>
        <v>9.1317600000000017</v>
      </c>
      <c r="I51" s="76"/>
      <c r="J51" s="135">
        <f>+F51</f>
        <v>4.4000000000000003E-3</v>
      </c>
      <c r="K51" s="18">
        <f>K49</f>
        <v>2075.2000000000003</v>
      </c>
      <c r="L51" s="139">
        <f t="shared" ref="L51:L59" si="8">K51*J51</f>
        <v>9.1308800000000012</v>
      </c>
      <c r="M51" s="76"/>
      <c r="N51" s="137">
        <f t="shared" si="2"/>
        <v>-8.8000000000043599E-4</v>
      </c>
      <c r="O51" s="87">
        <f t="shared" si="6"/>
        <v>-9.6366965404307147E-5</v>
      </c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</row>
    <row r="52" spans="1:63" x14ac:dyDescent="0.3">
      <c r="B52" s="86" t="s">
        <v>43</v>
      </c>
      <c r="C52" s="73"/>
      <c r="D52" s="7" t="s">
        <v>27</v>
      </c>
      <c r="E52" s="73"/>
      <c r="F52" s="135">
        <v>1.1999999999999999E-3</v>
      </c>
      <c r="G52" s="18">
        <f>G49</f>
        <v>2075.4</v>
      </c>
      <c r="H52" s="139">
        <f t="shared" si="7"/>
        <v>2.4904799999999998</v>
      </c>
      <c r="I52" s="76"/>
      <c r="J52" s="135">
        <v>1.2999999999999999E-3</v>
      </c>
      <c r="K52" s="18">
        <f>K49</f>
        <v>2075.2000000000003</v>
      </c>
      <c r="L52" s="139">
        <f t="shared" si="8"/>
        <v>2.6977600000000002</v>
      </c>
      <c r="M52" s="76"/>
      <c r="N52" s="137">
        <f t="shared" si="2"/>
        <v>0.20728000000000035</v>
      </c>
      <c r="O52" s="87">
        <f t="shared" si="6"/>
        <v>8.3228935787478864E-2</v>
      </c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</row>
    <row r="53" spans="1:63" x14ac:dyDescent="0.3">
      <c r="B53" s="73" t="s">
        <v>44</v>
      </c>
      <c r="C53" s="73"/>
      <c r="D53" s="7" t="s">
        <v>24</v>
      </c>
      <c r="E53" s="73"/>
      <c r="F53" s="135">
        <v>0.25</v>
      </c>
      <c r="G53" s="81">
        <v>1</v>
      </c>
      <c r="H53" s="139">
        <f t="shared" si="7"/>
        <v>0.25</v>
      </c>
      <c r="I53" s="76"/>
      <c r="J53" s="135">
        <f>+F53</f>
        <v>0.25</v>
      </c>
      <c r="K53" s="77">
        <v>1</v>
      </c>
      <c r="L53" s="139">
        <f t="shared" si="8"/>
        <v>0.25</v>
      </c>
      <c r="M53" s="76"/>
      <c r="N53" s="137">
        <f t="shared" si="2"/>
        <v>0</v>
      </c>
      <c r="O53" s="87">
        <f t="shared" si="6"/>
        <v>0</v>
      </c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</row>
    <row r="54" spans="1:63" x14ac:dyDescent="0.3">
      <c r="B54" s="73" t="s">
        <v>45</v>
      </c>
      <c r="C54" s="73"/>
      <c r="D54" s="7" t="s">
        <v>27</v>
      </c>
      <c r="E54" s="73"/>
      <c r="F54" s="135">
        <v>7.0000000000000001E-3</v>
      </c>
      <c r="G54" s="84">
        <f>F18</f>
        <v>2000</v>
      </c>
      <c r="H54" s="139">
        <f t="shared" si="7"/>
        <v>14</v>
      </c>
      <c r="I54" s="76"/>
      <c r="J54" s="135">
        <f>+F54</f>
        <v>7.0000000000000001E-3</v>
      </c>
      <c r="K54" s="77">
        <f>F18</f>
        <v>2000</v>
      </c>
      <c r="L54" s="139">
        <f t="shared" si="8"/>
        <v>14</v>
      </c>
      <c r="M54" s="76"/>
      <c r="N54" s="137">
        <f t="shared" si="2"/>
        <v>0</v>
      </c>
      <c r="O54" s="87">
        <f t="shared" si="6"/>
        <v>0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</row>
    <row r="55" spans="1:63" x14ac:dyDescent="0.3">
      <c r="B55" s="80" t="s">
        <v>46</v>
      </c>
      <c r="C55" s="73"/>
      <c r="D55" s="7" t="s">
        <v>27</v>
      </c>
      <c r="E55" s="73"/>
      <c r="F55" s="138">
        <v>6.7000000000000004E-2</v>
      </c>
      <c r="G55" s="27">
        <f>0.64*$F18</f>
        <v>1280</v>
      </c>
      <c r="H55" s="139">
        <f t="shared" si="7"/>
        <v>85.76</v>
      </c>
      <c r="I55" s="76"/>
      <c r="J55" s="138">
        <v>6.7000000000000004E-2</v>
      </c>
      <c r="K55" s="28">
        <f>G55</f>
        <v>1280</v>
      </c>
      <c r="L55" s="139">
        <f t="shared" si="8"/>
        <v>85.76</v>
      </c>
      <c r="M55" s="76"/>
      <c r="N55" s="137">
        <f t="shared" si="2"/>
        <v>0</v>
      </c>
      <c r="O55" s="87">
        <f t="shared" si="6"/>
        <v>0</v>
      </c>
      <c r="Q55" s="126"/>
      <c r="R55" s="126"/>
      <c r="S55" s="127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</row>
    <row r="56" spans="1:63" x14ac:dyDescent="0.3">
      <c r="B56" s="80" t="s">
        <v>47</v>
      </c>
      <c r="C56" s="73"/>
      <c r="D56" s="7" t="s">
        <v>27</v>
      </c>
      <c r="E56" s="73"/>
      <c r="F56" s="138">
        <v>0.104</v>
      </c>
      <c r="G56" s="27">
        <f>0.18*$F18</f>
        <v>360</v>
      </c>
      <c r="H56" s="139">
        <f t="shared" si="7"/>
        <v>37.44</v>
      </c>
      <c r="I56" s="76"/>
      <c r="J56" s="138">
        <v>0.104</v>
      </c>
      <c r="K56" s="28">
        <f>G56</f>
        <v>360</v>
      </c>
      <c r="L56" s="139">
        <f t="shared" si="8"/>
        <v>37.44</v>
      </c>
      <c r="M56" s="76"/>
      <c r="N56" s="137">
        <f t="shared" si="2"/>
        <v>0</v>
      </c>
      <c r="O56" s="87">
        <f t="shared" si="6"/>
        <v>0</v>
      </c>
      <c r="Q56" s="126"/>
      <c r="R56" s="126"/>
      <c r="S56" s="127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</row>
    <row r="57" spans="1:63" x14ac:dyDescent="0.3">
      <c r="B57" s="64" t="s">
        <v>48</v>
      </c>
      <c r="C57" s="73"/>
      <c r="D57" s="7" t="s">
        <v>27</v>
      </c>
      <c r="E57" s="73"/>
      <c r="F57" s="138">
        <v>0.124</v>
      </c>
      <c r="G57" s="27">
        <f>0.18*$F18</f>
        <v>360</v>
      </c>
      <c r="H57" s="139">
        <f t="shared" si="7"/>
        <v>44.64</v>
      </c>
      <c r="I57" s="76"/>
      <c r="J57" s="138">
        <v>0.124</v>
      </c>
      <c r="K57" s="28">
        <f>G57</f>
        <v>360</v>
      </c>
      <c r="L57" s="139">
        <f t="shared" si="8"/>
        <v>44.64</v>
      </c>
      <c r="M57" s="76"/>
      <c r="N57" s="137">
        <f t="shared" si="2"/>
        <v>0</v>
      </c>
      <c r="O57" s="87">
        <f t="shared" si="6"/>
        <v>0</v>
      </c>
      <c r="Q57" s="126"/>
      <c r="R57" s="126"/>
      <c r="S57" s="127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</row>
    <row r="58" spans="1:63" s="92" customFormat="1" x14ac:dyDescent="0.25">
      <c r="B58" s="89" t="s">
        <v>49</v>
      </c>
      <c r="C58" s="90"/>
      <c r="D58" s="29" t="s">
        <v>27</v>
      </c>
      <c r="E58" s="90"/>
      <c r="F58" s="138">
        <v>7.4999999999999997E-2</v>
      </c>
      <c r="G58" s="30">
        <f>IF(AND($T$1=1, F18&gt;=750), 750, IF(AND($T$1=1, AND(F18&lt;750, F18&gt;=0)), F18, IF(AND($T$1=2, F18&gt;=750), 750, IF(AND($T$1=2, AND(F18&lt;750, F18&gt;=0)), F18))))</f>
        <v>750</v>
      </c>
      <c r="H58" s="139">
        <f t="shared" si="7"/>
        <v>56.25</v>
      </c>
      <c r="I58" s="91"/>
      <c r="J58" s="138">
        <v>7.4999999999999997E-2</v>
      </c>
      <c r="K58" s="31">
        <f>G58</f>
        <v>750</v>
      </c>
      <c r="L58" s="139">
        <f t="shared" si="8"/>
        <v>56.25</v>
      </c>
      <c r="M58" s="91"/>
      <c r="N58" s="140">
        <f t="shared" si="2"/>
        <v>0</v>
      </c>
      <c r="O58" s="87">
        <f t="shared" si="6"/>
        <v>0</v>
      </c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</row>
    <row r="59" spans="1:63" s="92" customFormat="1" ht="15" thickBot="1" x14ac:dyDescent="0.3">
      <c r="B59" s="89" t="s">
        <v>50</v>
      </c>
      <c r="C59" s="90"/>
      <c r="D59" s="29" t="s">
        <v>27</v>
      </c>
      <c r="E59" s="90"/>
      <c r="F59" s="138">
        <v>8.7999999999999995E-2</v>
      </c>
      <c r="G59" s="30">
        <f>IF(AND($T$1=1, F18&gt;=750), F18-750, IF(AND($T$1=1, AND(F18&lt;750, F18&gt;=0)), 0, IF(AND($T$1=2, F18&gt;=750), F18-750, IF(AND($T$1=2, AND(F18&lt;750, F18&gt;=0)), 0))))</f>
        <v>1250</v>
      </c>
      <c r="H59" s="139">
        <f t="shared" si="7"/>
        <v>110</v>
      </c>
      <c r="I59" s="91"/>
      <c r="J59" s="138">
        <v>8.7999999999999995E-2</v>
      </c>
      <c r="K59" s="31">
        <f>G59</f>
        <v>1250</v>
      </c>
      <c r="L59" s="139">
        <f t="shared" si="8"/>
        <v>110</v>
      </c>
      <c r="M59" s="91"/>
      <c r="N59" s="140">
        <f t="shared" si="2"/>
        <v>0</v>
      </c>
      <c r="O59" s="87">
        <f t="shared" si="6"/>
        <v>0</v>
      </c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</row>
    <row r="60" spans="1:63" s="4" customFormat="1" ht="15" thickBot="1" x14ac:dyDescent="0.35">
      <c r="A60" s="60"/>
      <c r="B60" s="32"/>
      <c r="C60" s="33"/>
      <c r="D60" s="124"/>
      <c r="E60" s="33"/>
      <c r="F60" s="35"/>
      <c r="G60" s="36"/>
      <c r="H60" s="122"/>
      <c r="I60" s="123"/>
      <c r="J60" s="35"/>
      <c r="K60" s="39"/>
      <c r="L60" s="122"/>
      <c r="M60" s="123"/>
      <c r="N60" s="40"/>
      <c r="O60" s="41"/>
      <c r="P60" s="60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</row>
    <row r="61" spans="1:63" x14ac:dyDescent="0.3">
      <c r="B61" s="93" t="s">
        <v>51</v>
      </c>
      <c r="C61" s="73"/>
      <c r="D61" s="73"/>
      <c r="E61" s="73"/>
      <c r="F61" s="94"/>
      <c r="G61" s="95"/>
      <c r="H61" s="141">
        <f>SUM(H51:H57,H50)</f>
        <v>302.56476800000002</v>
      </c>
      <c r="I61" s="96"/>
      <c r="J61" s="97"/>
      <c r="K61" s="97"/>
      <c r="L61" s="144">
        <f>SUM(L51:L57,L50)</f>
        <v>292.70934399999999</v>
      </c>
      <c r="M61" s="145"/>
      <c r="N61" s="146">
        <f>L61-H61</f>
        <v>-9.8554240000000277</v>
      </c>
      <c r="O61" s="98">
        <f>IF((H61)=0,"",(N61/H61))</f>
        <v>-3.2572939887039416E-2</v>
      </c>
      <c r="Q61" s="126"/>
      <c r="R61" s="126"/>
      <c r="S61" s="127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</row>
    <row r="62" spans="1:63" x14ac:dyDescent="0.3">
      <c r="B62" s="99" t="s">
        <v>52</v>
      </c>
      <c r="C62" s="73"/>
      <c r="D62" s="73"/>
      <c r="E62" s="73"/>
      <c r="F62" s="100">
        <v>0.13</v>
      </c>
      <c r="G62" s="101"/>
      <c r="H62" s="142">
        <f>H61*F62</f>
        <v>39.333419840000005</v>
      </c>
      <c r="I62" s="102"/>
      <c r="J62" s="103">
        <v>0.13</v>
      </c>
      <c r="K62" s="102"/>
      <c r="L62" s="147">
        <f>L61*J62</f>
        <v>38.052214720000002</v>
      </c>
      <c r="M62" s="148"/>
      <c r="N62" s="149">
        <f>L62-H62</f>
        <v>-1.2812051200000028</v>
      </c>
      <c r="O62" s="104">
        <f>IF((H62)=0,"",(N62/H62))</f>
        <v>-3.2572939887039395E-2</v>
      </c>
      <c r="Q62" s="126"/>
      <c r="R62" s="126"/>
      <c r="S62" s="127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</row>
    <row r="63" spans="1:63" x14ac:dyDescent="0.3">
      <c r="B63" s="105" t="s">
        <v>53</v>
      </c>
      <c r="C63" s="73"/>
      <c r="D63" s="73"/>
      <c r="E63" s="73"/>
      <c r="F63" s="106"/>
      <c r="G63" s="101"/>
      <c r="H63" s="142">
        <f>H61+H62</f>
        <v>341.89818783999999</v>
      </c>
      <c r="I63" s="102"/>
      <c r="J63" s="102"/>
      <c r="K63" s="102"/>
      <c r="L63" s="147">
        <f>L61+L62</f>
        <v>330.76155871999998</v>
      </c>
      <c r="M63" s="148"/>
      <c r="N63" s="149">
        <f>L63-H63</f>
        <v>-11.136629120000009</v>
      </c>
      <c r="O63" s="104">
        <f>IF((H63)=0,"",(N63/H63))</f>
        <v>-3.2572939887039354E-2</v>
      </c>
      <c r="Q63" s="126"/>
      <c r="R63" s="126"/>
      <c r="S63" s="127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</row>
    <row r="64" spans="1:63" ht="14.4" customHeight="1" x14ac:dyDescent="0.3">
      <c r="B64" s="172" t="s">
        <v>54</v>
      </c>
      <c r="C64" s="172"/>
      <c r="D64" s="172"/>
      <c r="E64" s="73"/>
      <c r="F64" s="106"/>
      <c r="G64" s="101"/>
      <c r="H64" s="143">
        <f>ROUND(-H63*10%,2)</f>
        <v>-34.19</v>
      </c>
      <c r="I64" s="102"/>
      <c r="J64" s="102"/>
      <c r="K64" s="102"/>
      <c r="L64" s="150">
        <f>ROUND(-L63*10%,2)</f>
        <v>-33.08</v>
      </c>
      <c r="M64" s="148"/>
      <c r="N64" s="151">
        <f>L64-H64</f>
        <v>1.1099999999999994</v>
      </c>
      <c r="O64" s="107">
        <f>IF((H64)=0,"",(N64/H64))</f>
        <v>-3.2465633226089488E-2</v>
      </c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</row>
    <row r="65" spans="1:63" s="4" customFormat="1" ht="15" thickBot="1" x14ac:dyDescent="0.35">
      <c r="A65" s="60"/>
      <c r="B65" s="173" t="s">
        <v>55</v>
      </c>
      <c r="C65" s="173"/>
      <c r="D65" s="173"/>
      <c r="E65" s="42"/>
      <c r="F65" s="43"/>
      <c r="G65" s="44"/>
      <c r="H65" s="45">
        <f>H63+H64</f>
        <v>307.70818783999999</v>
      </c>
      <c r="I65" s="46"/>
      <c r="J65" s="46"/>
      <c r="K65" s="46"/>
      <c r="L65" s="47">
        <f>L63+L64</f>
        <v>297.68155872</v>
      </c>
      <c r="M65" s="48"/>
      <c r="N65" s="49">
        <f>L65-H65</f>
        <v>-10.026629119999996</v>
      </c>
      <c r="O65" s="50">
        <f>IF((H65)=0,"",(N65/H65))</f>
        <v>-3.2584862919583971E-2</v>
      </c>
      <c r="P65" s="60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</row>
    <row r="66" spans="1:63" s="4" customFormat="1" ht="15" thickBot="1" x14ac:dyDescent="0.35">
      <c r="A66" s="60"/>
      <c r="B66" s="32"/>
      <c r="C66" s="33"/>
      <c r="D66" s="34"/>
      <c r="E66" s="33"/>
      <c r="F66" s="35"/>
      <c r="G66" s="36"/>
      <c r="H66" s="37"/>
      <c r="I66" s="38"/>
      <c r="J66" s="35"/>
      <c r="K66" s="39"/>
      <c r="L66" s="37"/>
      <c r="M66" s="123"/>
      <c r="N66" s="40"/>
      <c r="O66" s="41"/>
      <c r="P66" s="60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</row>
    <row r="67" spans="1:63" s="92" customFormat="1" ht="13.2" x14ac:dyDescent="0.25">
      <c r="B67" s="108" t="s">
        <v>56</v>
      </c>
      <c r="C67" s="90"/>
      <c r="D67" s="90"/>
      <c r="E67" s="90"/>
      <c r="F67" s="109"/>
      <c r="G67" s="110"/>
      <c r="H67" s="152">
        <f>SUM(H58:H59,H50,H51:H54)</f>
        <v>300.97476799999998</v>
      </c>
      <c r="I67" s="111"/>
      <c r="J67" s="112"/>
      <c r="K67" s="112"/>
      <c r="L67" s="155">
        <f>SUM(L58:L59,L50,L51:L54)</f>
        <v>291.11934400000001</v>
      </c>
      <c r="M67" s="156"/>
      <c r="N67" s="157">
        <f>L67-H67</f>
        <v>-9.8554239999999709</v>
      </c>
      <c r="O67" s="98">
        <f>IF((H67)=0,"",(N67/H67))</f>
        <v>-3.2745017349759938E-2</v>
      </c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63" s="92" customFormat="1" ht="13.2" x14ac:dyDescent="0.25">
      <c r="B68" s="113" t="s">
        <v>52</v>
      </c>
      <c r="C68" s="90"/>
      <c r="D68" s="90"/>
      <c r="E68" s="90"/>
      <c r="F68" s="114">
        <v>0.13</v>
      </c>
      <c r="G68" s="110"/>
      <c r="H68" s="153">
        <f>H67*F68</f>
        <v>39.12671984</v>
      </c>
      <c r="I68" s="115"/>
      <c r="J68" s="116">
        <v>0.13</v>
      </c>
      <c r="K68" s="117"/>
      <c r="L68" s="158">
        <f>L67*J68</f>
        <v>37.845514720000004</v>
      </c>
      <c r="M68" s="159"/>
      <c r="N68" s="160">
        <f>L68-H68</f>
        <v>-1.2812051199999956</v>
      </c>
      <c r="O68" s="104">
        <f>IF((H68)=0,"",(N68/H68))</f>
        <v>-3.2745017349759917E-2</v>
      </c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63" s="92" customFormat="1" ht="13.2" x14ac:dyDescent="0.25">
      <c r="B69" s="118" t="s">
        <v>53</v>
      </c>
      <c r="C69" s="90"/>
      <c r="D69" s="90"/>
      <c r="E69" s="90"/>
      <c r="F69" s="119"/>
      <c r="G69" s="120"/>
      <c r="H69" s="153">
        <f>H67+H68</f>
        <v>340.10148784</v>
      </c>
      <c r="I69" s="115"/>
      <c r="J69" s="115"/>
      <c r="K69" s="115"/>
      <c r="L69" s="158">
        <f>L67+L68</f>
        <v>328.96485872</v>
      </c>
      <c r="M69" s="159"/>
      <c r="N69" s="160">
        <f>L69-H69</f>
        <v>-11.136629120000009</v>
      </c>
      <c r="O69" s="104">
        <f>IF((H69)=0,"",(N69/H69))</f>
        <v>-3.2745017349760056E-2</v>
      </c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63" s="92" customFormat="1" ht="13.2" customHeight="1" x14ac:dyDescent="0.25">
      <c r="B70" s="174" t="s">
        <v>54</v>
      </c>
      <c r="C70" s="174"/>
      <c r="D70" s="174"/>
      <c r="E70" s="90"/>
      <c r="F70" s="119"/>
      <c r="G70" s="120"/>
      <c r="H70" s="154">
        <f>ROUND(-H69*10%,2)</f>
        <v>-34.01</v>
      </c>
      <c r="I70" s="115"/>
      <c r="J70" s="115"/>
      <c r="K70" s="115"/>
      <c r="L70" s="161">
        <f>ROUND(-L69*10%,2)</f>
        <v>-32.9</v>
      </c>
      <c r="M70" s="159"/>
      <c r="N70" s="162">
        <f>L70-H70</f>
        <v>1.1099999999999994</v>
      </c>
      <c r="O70" s="107">
        <f>IF((H70)=0,"",(N70/H70))</f>
        <v>-3.2637459570714483E-2</v>
      </c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63" s="4" customFormat="1" ht="15" thickBot="1" x14ac:dyDescent="0.35">
      <c r="A71" s="60"/>
      <c r="B71" s="173" t="s">
        <v>57</v>
      </c>
      <c r="C71" s="173"/>
      <c r="D71" s="173"/>
      <c r="E71" s="42"/>
      <c r="F71" s="43"/>
      <c r="G71" s="44"/>
      <c r="H71" s="45">
        <f>SUM(H69:H70)</f>
        <v>306.09148784000001</v>
      </c>
      <c r="I71" s="46"/>
      <c r="J71" s="46"/>
      <c r="K71" s="46"/>
      <c r="L71" s="47">
        <f>SUM(L69:L70)</f>
        <v>296.06485872000002</v>
      </c>
      <c r="M71" s="48"/>
      <c r="N71" s="49">
        <f>L71-H71</f>
        <v>-10.026629119999996</v>
      </c>
      <c r="O71" s="50">
        <f>IF((H71)=0,"",(N71/H71))</f>
        <v>-3.2756968156008016E-2</v>
      </c>
      <c r="P71" s="60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</row>
    <row r="72" spans="1:63" s="4" customFormat="1" ht="15" thickBot="1" x14ac:dyDescent="0.35">
      <c r="A72" s="60"/>
      <c r="B72" s="32"/>
      <c r="C72" s="33"/>
      <c r="D72" s="34"/>
      <c r="E72" s="33"/>
      <c r="F72" s="35"/>
      <c r="G72" s="36"/>
      <c r="H72" s="122"/>
      <c r="I72" s="123"/>
      <c r="J72" s="35"/>
      <c r="K72" s="39"/>
      <c r="L72" s="37"/>
      <c r="M72" s="123"/>
      <c r="N72" s="40"/>
      <c r="O72" s="41"/>
      <c r="P72" s="60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</row>
    <row r="73" spans="1:63" x14ac:dyDescent="0.3">
      <c r="L73" s="88"/>
    </row>
    <row r="74" spans="1:63" x14ac:dyDescent="0.3">
      <c r="B74" s="65" t="s">
        <v>58</v>
      </c>
      <c r="F74" s="51">
        <v>3.7699999999999997E-2</v>
      </c>
      <c r="J74" s="51">
        <f>+Residential!$J$74</f>
        <v>3.7600000000000001E-2</v>
      </c>
    </row>
    <row r="76" spans="1:63" x14ac:dyDescent="0.3">
      <c r="L76" s="56"/>
      <c r="M76" s="56"/>
      <c r="N76" s="56"/>
      <c r="O76" s="56"/>
      <c r="P76" s="56"/>
    </row>
    <row r="77" spans="1:63" ht="16.2" x14ac:dyDescent="0.3">
      <c r="A77" s="121" t="s">
        <v>59</v>
      </c>
    </row>
    <row r="79" spans="1:63" x14ac:dyDescent="0.3">
      <c r="A79" s="60" t="s">
        <v>60</v>
      </c>
    </row>
    <row r="80" spans="1:63" x14ac:dyDescent="0.3">
      <c r="A80" s="60" t="s">
        <v>61</v>
      </c>
    </row>
    <row r="82" spans="1:29" x14ac:dyDescent="0.3">
      <c r="B82" s="60" t="s">
        <v>62</v>
      </c>
    </row>
    <row r="83" spans="1:29" x14ac:dyDescent="0.3">
      <c r="A83" s="64"/>
    </row>
    <row r="84" spans="1:29" ht="18.75" customHeight="1" x14ac:dyDescent="0.3">
      <c r="B84" s="175" t="s">
        <v>6</v>
      </c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56"/>
    </row>
    <row r="85" spans="1:29" ht="19.2" customHeight="1" x14ac:dyDescent="0.3">
      <c r="B85" s="175" t="s">
        <v>7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56"/>
    </row>
    <row r="86" spans="1:29" ht="7.5" customHeight="1" x14ac:dyDescent="0.3">
      <c r="L86" s="56"/>
      <c r="M86" s="56"/>
      <c r="N86" s="56"/>
      <c r="O86" s="56"/>
      <c r="P86" s="56"/>
    </row>
    <row r="87" spans="1:29" ht="7.5" customHeight="1" x14ac:dyDescent="0.3">
      <c r="L87" s="56"/>
      <c r="M87" s="56"/>
      <c r="N87" s="56"/>
      <c r="O87" s="56"/>
      <c r="P87" s="56"/>
    </row>
    <row r="88" spans="1:29" ht="15.6" x14ac:dyDescent="0.3">
      <c r="B88" s="61" t="s">
        <v>8</v>
      </c>
      <c r="D88" s="185" t="s">
        <v>65</v>
      </c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</row>
    <row r="89" spans="1:29" ht="7.5" customHeight="1" x14ac:dyDescent="0.3">
      <c r="B89" s="62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</row>
    <row r="90" spans="1:29" ht="15.6" x14ac:dyDescent="0.3">
      <c r="B90" s="61" t="s">
        <v>9</v>
      </c>
      <c r="D90" s="5" t="s">
        <v>10</v>
      </c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</row>
    <row r="91" spans="1:29" ht="15.6" x14ac:dyDescent="0.3">
      <c r="B91" s="62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</row>
    <row r="92" spans="1:29" ht="15" customHeight="1" x14ac:dyDescent="0.3">
      <c r="B92" s="64"/>
      <c r="D92" s="65" t="s">
        <v>11</v>
      </c>
      <c r="E92" s="65"/>
      <c r="F92" s="6">
        <v>1000</v>
      </c>
      <c r="G92" s="65" t="s">
        <v>12</v>
      </c>
    </row>
    <row r="93" spans="1:29" x14ac:dyDescent="0.3">
      <c r="B93" s="64"/>
      <c r="G93" s="65"/>
    </row>
    <row r="94" spans="1:29" x14ac:dyDescent="0.3">
      <c r="B94" s="64"/>
      <c r="D94" s="66"/>
      <c r="E94" s="66"/>
      <c r="F94" s="176" t="s">
        <v>13</v>
      </c>
      <c r="G94" s="177"/>
      <c r="H94" s="178"/>
      <c r="J94" s="176" t="s">
        <v>14</v>
      </c>
      <c r="K94" s="177"/>
      <c r="L94" s="178"/>
      <c r="N94" s="176" t="s">
        <v>15</v>
      </c>
      <c r="O94" s="178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</row>
    <row r="95" spans="1:29" x14ac:dyDescent="0.3">
      <c r="B95" s="64"/>
      <c r="D95" s="179" t="s">
        <v>16</v>
      </c>
      <c r="E95" s="67"/>
      <c r="F95" s="68" t="s">
        <v>17</v>
      </c>
      <c r="G95" s="68" t="s">
        <v>18</v>
      </c>
      <c r="H95" s="69" t="s">
        <v>19</v>
      </c>
      <c r="J95" s="68" t="s">
        <v>17</v>
      </c>
      <c r="K95" s="70" t="s">
        <v>18</v>
      </c>
      <c r="L95" s="69" t="s">
        <v>19</v>
      </c>
      <c r="N95" s="181" t="s">
        <v>20</v>
      </c>
      <c r="O95" s="183" t="s">
        <v>21</v>
      </c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</row>
    <row r="96" spans="1:29" x14ac:dyDescent="0.3">
      <c r="B96" s="64"/>
      <c r="D96" s="180"/>
      <c r="E96" s="67"/>
      <c r="F96" s="71" t="s">
        <v>22</v>
      </c>
      <c r="G96" s="71"/>
      <c r="H96" s="72" t="s">
        <v>22</v>
      </c>
      <c r="J96" s="71" t="s">
        <v>22</v>
      </c>
      <c r="K96" s="72"/>
      <c r="L96" s="72" t="s">
        <v>22</v>
      </c>
      <c r="N96" s="182"/>
      <c r="O96" s="184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</row>
    <row r="97" spans="2:29" x14ac:dyDescent="0.3">
      <c r="B97" s="73" t="s">
        <v>23</v>
      </c>
      <c r="C97" s="73"/>
      <c r="D97" s="7" t="s">
        <v>24</v>
      </c>
      <c r="E97" s="73"/>
      <c r="F97" s="129">
        <v>32.24</v>
      </c>
      <c r="G97" s="74">
        <v>1</v>
      </c>
      <c r="H97" s="75">
        <f t="shared" ref="H97:H112" si="9">G97*F97</f>
        <v>32.24</v>
      </c>
      <c r="I97" s="76"/>
      <c r="J97" s="129">
        <v>34.71</v>
      </c>
      <c r="K97" s="77">
        <v>1</v>
      </c>
      <c r="L97" s="75">
        <f t="shared" ref="L97:L112" si="10">K97*J97</f>
        <v>34.71</v>
      </c>
      <c r="M97" s="76"/>
      <c r="N97" s="78">
        <f t="shared" ref="N97:N133" si="11">L97-H97</f>
        <v>2.4699999999999989</v>
      </c>
      <c r="O97" s="79">
        <f t="shared" ref="O97:O119" si="12">IF((H97)=0,"",(N97/H97))</f>
        <v>7.6612903225806411E-2</v>
      </c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</row>
    <row r="98" spans="2:29" x14ac:dyDescent="0.3">
      <c r="B98" s="73" t="s">
        <v>25</v>
      </c>
      <c r="C98" s="73"/>
      <c r="D98" s="7" t="s">
        <v>24</v>
      </c>
      <c r="E98" s="73"/>
      <c r="F98" s="133">
        <v>7.33</v>
      </c>
      <c r="G98" s="74">
        <v>1</v>
      </c>
      <c r="H98" s="136">
        <f t="shared" si="9"/>
        <v>7.33</v>
      </c>
      <c r="I98" s="76"/>
      <c r="J98" s="130"/>
      <c r="K98" s="77">
        <v>1</v>
      </c>
      <c r="L98" s="136">
        <f t="shared" si="10"/>
        <v>0</v>
      </c>
      <c r="M98" s="76"/>
      <c r="N98" s="137">
        <f t="shared" si="11"/>
        <v>-7.33</v>
      </c>
      <c r="O98" s="79">
        <f t="shared" si="12"/>
        <v>-1</v>
      </c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</row>
    <row r="99" spans="2:29" x14ac:dyDescent="0.3">
      <c r="B99" s="9"/>
      <c r="C99" s="73"/>
      <c r="D99" s="7"/>
      <c r="E99" s="73"/>
      <c r="F99" s="134"/>
      <c r="G99" s="74">
        <v>1</v>
      </c>
      <c r="H99" s="136">
        <f t="shared" si="9"/>
        <v>0</v>
      </c>
      <c r="I99" s="76"/>
      <c r="J99" s="131"/>
      <c r="K99" s="77">
        <v>1</v>
      </c>
      <c r="L99" s="136">
        <f t="shared" si="10"/>
        <v>0</v>
      </c>
      <c r="M99" s="76"/>
      <c r="N99" s="137">
        <f t="shared" si="11"/>
        <v>0</v>
      </c>
      <c r="O99" s="79" t="str">
        <f t="shared" si="12"/>
        <v/>
      </c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</row>
    <row r="100" spans="2:29" x14ac:dyDescent="0.3">
      <c r="B100" s="9"/>
      <c r="C100" s="73"/>
      <c r="D100" s="7"/>
      <c r="E100" s="73"/>
      <c r="F100" s="134"/>
      <c r="G100" s="74">
        <v>1</v>
      </c>
      <c r="H100" s="136">
        <f t="shared" si="9"/>
        <v>0</v>
      </c>
      <c r="I100" s="76"/>
      <c r="J100" s="131"/>
      <c r="K100" s="77">
        <v>1</v>
      </c>
      <c r="L100" s="136">
        <f t="shared" si="10"/>
        <v>0</v>
      </c>
      <c r="M100" s="76"/>
      <c r="N100" s="137">
        <f t="shared" si="11"/>
        <v>0</v>
      </c>
      <c r="O100" s="79" t="str">
        <f t="shared" si="12"/>
        <v/>
      </c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</row>
    <row r="101" spans="2:29" x14ac:dyDescent="0.3">
      <c r="B101" s="10"/>
      <c r="C101" s="73"/>
      <c r="D101" s="7"/>
      <c r="E101" s="73"/>
      <c r="F101" s="134"/>
      <c r="G101" s="74">
        <v>1</v>
      </c>
      <c r="H101" s="136">
        <f t="shared" si="9"/>
        <v>0</v>
      </c>
      <c r="I101" s="76"/>
      <c r="J101" s="131"/>
      <c r="K101" s="77">
        <v>1</v>
      </c>
      <c r="L101" s="136">
        <f t="shared" si="10"/>
        <v>0</v>
      </c>
      <c r="M101" s="76"/>
      <c r="N101" s="137">
        <f t="shared" si="11"/>
        <v>0</v>
      </c>
      <c r="O101" s="79" t="str">
        <f t="shared" si="12"/>
        <v/>
      </c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</row>
    <row r="102" spans="2:29" x14ac:dyDescent="0.3">
      <c r="B102" s="10"/>
      <c r="C102" s="73"/>
      <c r="D102" s="7"/>
      <c r="E102" s="73"/>
      <c r="F102" s="134"/>
      <c r="G102" s="74">
        <v>1</v>
      </c>
      <c r="H102" s="136">
        <f t="shared" si="9"/>
        <v>0</v>
      </c>
      <c r="I102" s="76"/>
      <c r="J102" s="131"/>
      <c r="K102" s="77">
        <v>1</v>
      </c>
      <c r="L102" s="136">
        <f t="shared" si="10"/>
        <v>0</v>
      </c>
      <c r="M102" s="76"/>
      <c r="N102" s="137">
        <f t="shared" si="11"/>
        <v>0</v>
      </c>
      <c r="O102" s="79" t="str">
        <f t="shared" si="12"/>
        <v/>
      </c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</row>
    <row r="103" spans="2:29" x14ac:dyDescent="0.3">
      <c r="B103" s="73" t="s">
        <v>26</v>
      </c>
      <c r="C103" s="73"/>
      <c r="D103" s="7" t="s">
        <v>27</v>
      </c>
      <c r="E103" s="73"/>
      <c r="F103" s="135">
        <v>1.4200000000000001E-2</v>
      </c>
      <c r="G103" s="74">
        <f>$F92</f>
        <v>1000</v>
      </c>
      <c r="H103" s="136">
        <f t="shared" si="9"/>
        <v>14.200000000000001</v>
      </c>
      <c r="I103" s="76"/>
      <c r="J103" s="132">
        <v>1.5299999999999999E-2</v>
      </c>
      <c r="K103" s="74">
        <f>$F92</f>
        <v>1000</v>
      </c>
      <c r="L103" s="136">
        <f t="shared" si="10"/>
        <v>15.299999999999999</v>
      </c>
      <c r="M103" s="76"/>
      <c r="N103" s="137">
        <f t="shared" si="11"/>
        <v>1.0999999999999979</v>
      </c>
      <c r="O103" s="79">
        <f t="shared" si="12"/>
        <v>7.7464788732394207E-2</v>
      </c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</row>
    <row r="104" spans="2:29" x14ac:dyDescent="0.3">
      <c r="B104" s="73" t="s">
        <v>28</v>
      </c>
      <c r="C104" s="73"/>
      <c r="D104" s="7" t="s">
        <v>24</v>
      </c>
      <c r="E104" s="73"/>
      <c r="F104" s="135">
        <v>4.63</v>
      </c>
      <c r="G104" s="74">
        <v>1</v>
      </c>
      <c r="H104" s="136">
        <f t="shared" si="9"/>
        <v>4.63</v>
      </c>
      <c r="I104" s="76"/>
      <c r="J104" s="132"/>
      <c r="K104" s="74">
        <v>1</v>
      </c>
      <c r="L104" s="136">
        <f t="shared" si="10"/>
        <v>0</v>
      </c>
      <c r="M104" s="76"/>
      <c r="N104" s="137">
        <f t="shared" si="11"/>
        <v>-4.63</v>
      </c>
      <c r="O104" s="79">
        <f t="shared" si="12"/>
        <v>-1</v>
      </c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</row>
    <row r="105" spans="2:29" x14ac:dyDescent="0.3">
      <c r="B105" s="73" t="s">
        <v>29</v>
      </c>
      <c r="C105" s="73"/>
      <c r="D105" s="7" t="s">
        <v>27</v>
      </c>
      <c r="E105" s="73"/>
      <c r="F105" s="135">
        <v>0</v>
      </c>
      <c r="G105" s="74">
        <f>$F92</f>
        <v>1000</v>
      </c>
      <c r="H105" s="136">
        <f t="shared" si="9"/>
        <v>0</v>
      </c>
      <c r="I105" s="76"/>
      <c r="J105" s="171">
        <v>0</v>
      </c>
      <c r="K105" s="74">
        <f>$F92</f>
        <v>1000</v>
      </c>
      <c r="L105" s="136">
        <f t="shared" si="10"/>
        <v>0</v>
      </c>
      <c r="M105" s="76"/>
      <c r="N105" s="137">
        <f t="shared" si="11"/>
        <v>0</v>
      </c>
      <c r="O105" s="79" t="str">
        <f t="shared" si="12"/>
        <v/>
      </c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</row>
    <row r="106" spans="2:29" x14ac:dyDescent="0.3">
      <c r="B106" s="11" t="s">
        <v>30</v>
      </c>
      <c r="C106" s="73"/>
      <c r="D106" s="7" t="s">
        <v>27</v>
      </c>
      <c r="E106" s="73"/>
      <c r="F106" s="135">
        <v>1.5E-3</v>
      </c>
      <c r="G106" s="74">
        <f>$F92</f>
        <v>1000</v>
      </c>
      <c r="H106" s="136">
        <f t="shared" si="9"/>
        <v>1.5</v>
      </c>
      <c r="I106" s="76"/>
      <c r="J106" s="132"/>
      <c r="K106" s="74">
        <f>$F92</f>
        <v>1000</v>
      </c>
      <c r="L106" s="136">
        <f t="shared" si="10"/>
        <v>0</v>
      </c>
      <c r="M106" s="76"/>
      <c r="N106" s="137">
        <f t="shared" si="11"/>
        <v>-1.5</v>
      </c>
      <c r="O106" s="79">
        <f t="shared" si="12"/>
        <v>-1</v>
      </c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</row>
    <row r="107" spans="2:29" x14ac:dyDescent="0.3">
      <c r="B107" s="11" t="s">
        <v>31</v>
      </c>
      <c r="C107" s="73"/>
      <c r="D107" s="7" t="s">
        <v>27</v>
      </c>
      <c r="E107" s="73"/>
      <c r="F107" s="135">
        <v>-2.9999999999999997E-4</v>
      </c>
      <c r="G107" s="74">
        <f>$F92</f>
        <v>1000</v>
      </c>
      <c r="H107" s="136">
        <f t="shared" si="9"/>
        <v>-0.3</v>
      </c>
      <c r="I107" s="76"/>
      <c r="J107" s="132"/>
      <c r="K107" s="74">
        <f>$F92</f>
        <v>1000</v>
      </c>
      <c r="L107" s="136">
        <f t="shared" si="10"/>
        <v>0</v>
      </c>
      <c r="M107" s="76"/>
      <c r="N107" s="137">
        <f t="shared" si="11"/>
        <v>0.3</v>
      </c>
      <c r="O107" s="79">
        <f t="shared" si="12"/>
        <v>-1</v>
      </c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</row>
    <row r="108" spans="2:29" x14ac:dyDescent="0.3">
      <c r="B108" s="11" t="s">
        <v>32</v>
      </c>
      <c r="C108" s="73"/>
      <c r="D108" s="7" t="s">
        <v>24</v>
      </c>
      <c r="E108" s="73"/>
      <c r="F108" s="135"/>
      <c r="G108" s="74">
        <v>1</v>
      </c>
      <c r="H108" s="136">
        <f t="shared" si="9"/>
        <v>0</v>
      </c>
      <c r="I108" s="76"/>
      <c r="J108" s="171">
        <v>2.27</v>
      </c>
      <c r="K108" s="74">
        <v>1</v>
      </c>
      <c r="L108" s="136">
        <f t="shared" si="10"/>
        <v>2.27</v>
      </c>
      <c r="M108" s="76"/>
      <c r="N108" s="137">
        <f t="shared" si="11"/>
        <v>2.27</v>
      </c>
      <c r="O108" s="79" t="str">
        <f t="shared" si="12"/>
        <v/>
      </c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</row>
    <row r="109" spans="2:29" x14ac:dyDescent="0.3">
      <c r="B109" s="12" t="str">
        <f>+Residential!$B$35</f>
        <v>Rate Rider for Disposition of Account 1576</v>
      </c>
      <c r="C109" s="73"/>
      <c r="D109" s="7" t="s">
        <v>27</v>
      </c>
      <c r="E109" s="73"/>
      <c r="F109" s="134"/>
      <c r="G109" s="74">
        <f>$F92</f>
        <v>1000</v>
      </c>
      <c r="H109" s="136">
        <f t="shared" si="9"/>
        <v>0</v>
      </c>
      <c r="I109" s="76"/>
      <c r="J109" s="171">
        <v>-5.9999999999999995E-4</v>
      </c>
      <c r="K109" s="74">
        <f>$F92</f>
        <v>1000</v>
      </c>
      <c r="L109" s="136">
        <f t="shared" si="10"/>
        <v>-0.6</v>
      </c>
      <c r="M109" s="76"/>
      <c r="N109" s="137">
        <f t="shared" si="11"/>
        <v>-0.6</v>
      </c>
      <c r="O109" s="79" t="str">
        <f t="shared" si="12"/>
        <v/>
      </c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</row>
    <row r="110" spans="2:29" x14ac:dyDescent="0.3">
      <c r="B110" s="12" t="str">
        <f>+Residential!$B$36</f>
        <v xml:space="preserve">Rate Rider for Disposition of CGAAP CWIP differential </v>
      </c>
      <c r="C110" s="73"/>
      <c r="D110" s="7" t="s">
        <v>27</v>
      </c>
      <c r="E110" s="73"/>
      <c r="F110" s="134"/>
      <c r="G110" s="74">
        <f>$F92</f>
        <v>1000</v>
      </c>
      <c r="H110" s="136">
        <f t="shared" si="9"/>
        <v>0</v>
      </c>
      <c r="I110" s="76"/>
      <c r="J110" s="171">
        <v>2.9999999999999997E-4</v>
      </c>
      <c r="K110" s="74">
        <f>$F92</f>
        <v>1000</v>
      </c>
      <c r="L110" s="136">
        <f t="shared" si="10"/>
        <v>0.3</v>
      </c>
      <c r="M110" s="76"/>
      <c r="N110" s="137">
        <f t="shared" si="11"/>
        <v>0.3</v>
      </c>
      <c r="O110" s="79" t="str">
        <f t="shared" si="12"/>
        <v/>
      </c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</row>
    <row r="111" spans="2:29" x14ac:dyDescent="0.3">
      <c r="B111" s="12" t="str">
        <f>+Residential!$B$37</f>
        <v xml:space="preserve">Rate Rider for Disposition of Incremental Capital Expenditures </v>
      </c>
      <c r="C111" s="73"/>
      <c r="D111" s="7" t="s">
        <v>27</v>
      </c>
      <c r="E111" s="73"/>
      <c r="F111" s="131"/>
      <c r="G111" s="74">
        <f>$F92</f>
        <v>1000</v>
      </c>
      <c r="H111" s="136">
        <f t="shared" si="9"/>
        <v>0</v>
      </c>
      <c r="I111" s="76"/>
      <c r="J111" s="171">
        <v>2.0000000000000001E-4</v>
      </c>
      <c r="K111" s="74">
        <f>$F92</f>
        <v>1000</v>
      </c>
      <c r="L111" s="136">
        <f t="shared" si="10"/>
        <v>0.2</v>
      </c>
      <c r="M111" s="76"/>
      <c r="N111" s="137">
        <f t="shared" si="11"/>
        <v>0.2</v>
      </c>
      <c r="O111" s="79" t="str">
        <f t="shared" si="12"/>
        <v/>
      </c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</row>
    <row r="112" spans="2:29" x14ac:dyDescent="0.3">
      <c r="B112" s="12"/>
      <c r="C112" s="73"/>
      <c r="D112" s="7"/>
      <c r="E112" s="73"/>
      <c r="F112" s="131"/>
      <c r="G112" s="74">
        <f>$F92</f>
        <v>1000</v>
      </c>
      <c r="H112" s="136">
        <f t="shared" si="9"/>
        <v>0</v>
      </c>
      <c r="I112" s="76"/>
      <c r="J112" s="131"/>
      <c r="K112" s="74">
        <f>$F92</f>
        <v>1000</v>
      </c>
      <c r="L112" s="136">
        <f t="shared" si="10"/>
        <v>0</v>
      </c>
      <c r="M112" s="76"/>
      <c r="N112" s="137">
        <f t="shared" si="11"/>
        <v>0</v>
      </c>
      <c r="O112" s="79" t="str">
        <f t="shared" si="12"/>
        <v/>
      </c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</row>
    <row r="113" spans="1:63" s="4" customFormat="1" x14ac:dyDescent="0.3">
      <c r="A113" s="60"/>
      <c r="B113" s="19" t="s">
        <v>33</v>
      </c>
      <c r="C113" s="20"/>
      <c r="D113" s="20"/>
      <c r="E113" s="20"/>
      <c r="F113" s="21"/>
      <c r="G113" s="22"/>
      <c r="H113" s="23">
        <f>SUM(H97:H112)</f>
        <v>59.600000000000009</v>
      </c>
      <c r="I113" s="13"/>
      <c r="J113" s="14"/>
      <c r="K113" s="24"/>
      <c r="L113" s="23">
        <f>SUM(L97:L112)</f>
        <v>52.18</v>
      </c>
      <c r="M113" s="13"/>
      <c r="N113" s="15">
        <f t="shared" si="11"/>
        <v>-7.4200000000000088</v>
      </c>
      <c r="O113" s="16">
        <f t="shared" si="12"/>
        <v>-0.12449664429530215</v>
      </c>
      <c r="P113" s="60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</row>
    <row r="114" spans="1:63" x14ac:dyDescent="0.3">
      <c r="B114" s="17" t="s">
        <v>34</v>
      </c>
      <c r="C114" s="73"/>
      <c r="D114" s="7" t="s">
        <v>27</v>
      </c>
      <c r="E114" s="73"/>
      <c r="F114" s="135">
        <v>2.9999999999999997E-4</v>
      </c>
      <c r="G114" s="74">
        <f>$F92</f>
        <v>1000</v>
      </c>
      <c r="H114" s="136">
        <f t="shared" ref="H114:H120" si="13">G114*F114</f>
        <v>0.3</v>
      </c>
      <c r="I114" s="76"/>
      <c r="J114" s="171">
        <v>-6.9999999999999999E-4</v>
      </c>
      <c r="K114" s="74">
        <f>$F92</f>
        <v>1000</v>
      </c>
      <c r="L114" s="136">
        <f t="shared" ref="L114:L120" si="14">K114*J114</f>
        <v>-0.7</v>
      </c>
      <c r="M114" s="76"/>
      <c r="N114" s="137">
        <f t="shared" si="11"/>
        <v>-1</v>
      </c>
      <c r="O114" s="79">
        <f t="shared" si="12"/>
        <v>-3.3333333333333335</v>
      </c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</row>
    <row r="115" spans="1:63" x14ac:dyDescent="0.3">
      <c r="B115" s="17"/>
      <c r="C115" s="73"/>
      <c r="D115" s="7"/>
      <c r="E115" s="73"/>
      <c r="F115" s="8"/>
      <c r="G115" s="74">
        <f>$F92</f>
        <v>1000</v>
      </c>
      <c r="H115" s="136">
        <f t="shared" si="13"/>
        <v>0</v>
      </c>
      <c r="I115" s="82"/>
      <c r="J115" s="8"/>
      <c r="K115" s="74">
        <f>$F92</f>
        <v>1000</v>
      </c>
      <c r="L115" s="136">
        <f t="shared" si="14"/>
        <v>0</v>
      </c>
      <c r="M115" s="83"/>
      <c r="N115" s="137">
        <f t="shared" si="11"/>
        <v>0</v>
      </c>
      <c r="O115" s="79" t="str">
        <f t="shared" si="12"/>
        <v/>
      </c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</row>
    <row r="116" spans="1:63" x14ac:dyDescent="0.3">
      <c r="B116" s="17"/>
      <c r="C116" s="73"/>
      <c r="D116" s="7"/>
      <c r="E116" s="73"/>
      <c r="F116" s="8"/>
      <c r="G116" s="74">
        <f>$F92</f>
        <v>1000</v>
      </c>
      <c r="H116" s="136">
        <f t="shared" si="13"/>
        <v>0</v>
      </c>
      <c r="I116" s="82"/>
      <c r="J116" s="8"/>
      <c r="K116" s="74">
        <f>$F92</f>
        <v>1000</v>
      </c>
      <c r="L116" s="136">
        <f t="shared" si="14"/>
        <v>0</v>
      </c>
      <c r="M116" s="83"/>
      <c r="N116" s="137">
        <f t="shared" si="11"/>
        <v>0</v>
      </c>
      <c r="O116" s="79" t="str">
        <f t="shared" si="12"/>
        <v/>
      </c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</row>
    <row r="117" spans="1:63" x14ac:dyDescent="0.3">
      <c r="B117" s="17"/>
      <c r="C117" s="73"/>
      <c r="D117" s="7"/>
      <c r="E117" s="73"/>
      <c r="F117" s="8"/>
      <c r="G117" s="74">
        <f>$F92</f>
        <v>1000</v>
      </c>
      <c r="H117" s="136">
        <f t="shared" si="13"/>
        <v>0</v>
      </c>
      <c r="I117" s="82"/>
      <c r="J117" s="8"/>
      <c r="K117" s="74">
        <f>$F92</f>
        <v>1000</v>
      </c>
      <c r="L117" s="136">
        <f t="shared" si="14"/>
        <v>0</v>
      </c>
      <c r="M117" s="83"/>
      <c r="N117" s="137">
        <f t="shared" si="11"/>
        <v>0</v>
      </c>
      <c r="O117" s="79" t="str">
        <f t="shared" si="12"/>
        <v/>
      </c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</row>
    <row r="118" spans="1:63" x14ac:dyDescent="0.3">
      <c r="B118" s="80" t="s">
        <v>35</v>
      </c>
      <c r="C118" s="73"/>
      <c r="D118" s="7" t="s">
        <v>27</v>
      </c>
      <c r="E118" s="73"/>
      <c r="F118" s="135">
        <v>2.0000000000000001E-4</v>
      </c>
      <c r="G118" s="74">
        <f>$F92</f>
        <v>1000</v>
      </c>
      <c r="H118" s="136">
        <f t="shared" si="13"/>
        <v>0.2</v>
      </c>
      <c r="I118" s="76"/>
      <c r="J118" s="171">
        <v>2.9999999999999997E-4</v>
      </c>
      <c r="K118" s="74">
        <f>$F92</f>
        <v>1000</v>
      </c>
      <c r="L118" s="136">
        <f t="shared" si="14"/>
        <v>0.3</v>
      </c>
      <c r="M118" s="76"/>
      <c r="N118" s="137">
        <f t="shared" si="11"/>
        <v>9.9999999999999978E-2</v>
      </c>
      <c r="O118" s="79">
        <f t="shared" si="12"/>
        <v>0.49999999999999989</v>
      </c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</row>
    <row r="119" spans="1:63" x14ac:dyDescent="0.3">
      <c r="B119" s="80" t="s">
        <v>36</v>
      </c>
      <c r="C119" s="73"/>
      <c r="D119" s="7" t="s">
        <v>27</v>
      </c>
      <c r="E119" s="73"/>
      <c r="F119" s="138">
        <f>IF(ISBLANK(D90)=TRUE, 0, IF(D90="TOU", 0.64*$F129+0.18*$F130+0.18*$F131, IF(AND(D90="non-TOU", G133&gt;0), F133,F132)))</f>
        <v>8.3919999999999995E-2</v>
      </c>
      <c r="G119" s="18">
        <f>$F92*(1+$F148)-$F92</f>
        <v>37.700000000000045</v>
      </c>
      <c r="H119" s="136">
        <f t="shared" si="13"/>
        <v>3.1637840000000037</v>
      </c>
      <c r="I119" s="76"/>
      <c r="J119" s="138">
        <f>0.64*$F129+0.18*$F130+0.18*$F131</f>
        <v>8.3919999999999995E-2</v>
      </c>
      <c r="K119" s="18">
        <f>$F92*(1+$J148)-$F92</f>
        <v>37.600000000000136</v>
      </c>
      <c r="L119" s="136">
        <f t="shared" si="14"/>
        <v>3.1553920000000111</v>
      </c>
      <c r="M119" s="76"/>
      <c r="N119" s="137">
        <f t="shared" si="11"/>
        <v>-8.3919999999926276E-3</v>
      </c>
      <c r="O119" s="79">
        <f t="shared" si="12"/>
        <v>-2.6525198938968709E-3</v>
      </c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</row>
    <row r="120" spans="1:63" x14ac:dyDescent="0.3">
      <c r="B120" s="80" t="s">
        <v>37</v>
      </c>
      <c r="C120" s="73"/>
      <c r="D120" s="7" t="s">
        <v>24</v>
      </c>
      <c r="E120" s="73"/>
      <c r="F120" s="138">
        <v>0.79</v>
      </c>
      <c r="G120" s="74">
        <v>1</v>
      </c>
      <c r="H120" s="136">
        <f t="shared" si="13"/>
        <v>0.79</v>
      </c>
      <c r="I120" s="76"/>
      <c r="J120" s="138">
        <v>0.79</v>
      </c>
      <c r="K120" s="81">
        <v>1</v>
      </c>
      <c r="L120" s="136">
        <f t="shared" si="14"/>
        <v>0.79</v>
      </c>
      <c r="M120" s="76"/>
      <c r="N120" s="137">
        <f t="shared" si="11"/>
        <v>0</v>
      </c>
      <c r="O120" s="79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</row>
    <row r="121" spans="1:63" s="4" customFormat="1" ht="26.4" x14ac:dyDescent="0.3">
      <c r="A121" s="60"/>
      <c r="B121" s="19" t="s">
        <v>38</v>
      </c>
      <c r="C121" s="20"/>
      <c r="D121" s="20"/>
      <c r="E121" s="20"/>
      <c r="F121" s="21"/>
      <c r="G121" s="22"/>
      <c r="H121" s="23">
        <f>SUM(H114:H120)+H113</f>
        <v>64.053784000000007</v>
      </c>
      <c r="I121" s="13"/>
      <c r="J121" s="22"/>
      <c r="K121" s="24"/>
      <c r="L121" s="23">
        <f>SUM(L114:L120)+L113</f>
        <v>55.725392000000014</v>
      </c>
      <c r="M121" s="13"/>
      <c r="N121" s="15">
        <f t="shared" si="11"/>
        <v>-8.3283919999999938</v>
      </c>
      <c r="O121" s="16">
        <f t="shared" ref="O121:O133" si="15">IF((H121)=0,"",(N121/H121))</f>
        <v>-0.13002185788118298</v>
      </c>
      <c r="P121" s="60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</row>
    <row r="122" spans="1:63" x14ac:dyDescent="0.3">
      <c r="B122" s="76" t="s">
        <v>39</v>
      </c>
      <c r="C122" s="76"/>
      <c r="D122" s="25" t="s">
        <v>27</v>
      </c>
      <c r="E122" s="76"/>
      <c r="F122" s="135">
        <v>7.4000000000000003E-3</v>
      </c>
      <c r="G122" s="18">
        <f>F92*(1+F148)</f>
        <v>1037.7</v>
      </c>
      <c r="H122" s="136">
        <f>G122*F122</f>
        <v>7.678980000000001</v>
      </c>
      <c r="I122" s="76"/>
      <c r="J122" s="135">
        <f>+$J$48</f>
        <v>7.3000000000000001E-3</v>
      </c>
      <c r="K122" s="18">
        <f>F92*(1+J148)</f>
        <v>1037.6000000000001</v>
      </c>
      <c r="L122" s="136">
        <f>K122*J122</f>
        <v>7.5744800000000012</v>
      </c>
      <c r="M122" s="76"/>
      <c r="N122" s="136">
        <f t="shared" si="11"/>
        <v>-0.10449999999999982</v>
      </c>
      <c r="O122" s="79">
        <f t="shared" si="15"/>
        <v>-1.36085782226285E-2</v>
      </c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</row>
    <row r="123" spans="1:63" x14ac:dyDescent="0.3">
      <c r="B123" s="85" t="s">
        <v>40</v>
      </c>
      <c r="C123" s="76"/>
      <c r="D123" s="25" t="s">
        <v>27</v>
      </c>
      <c r="E123" s="76"/>
      <c r="F123" s="135">
        <v>5.0000000000000001E-3</v>
      </c>
      <c r="G123" s="18">
        <f>G122</f>
        <v>1037.7</v>
      </c>
      <c r="H123" s="136">
        <f>G123*F123</f>
        <v>5.1885000000000003</v>
      </c>
      <c r="I123" s="76"/>
      <c r="J123" s="135">
        <f>+$J$49</f>
        <v>4.7999999999999996E-3</v>
      </c>
      <c r="K123" s="18">
        <f>K122</f>
        <v>1037.6000000000001</v>
      </c>
      <c r="L123" s="136">
        <f>K123*J123</f>
        <v>4.98048</v>
      </c>
      <c r="M123" s="76"/>
      <c r="N123" s="136">
        <f t="shared" si="11"/>
        <v>-0.20802000000000032</v>
      </c>
      <c r="O123" s="79">
        <f t="shared" si="15"/>
        <v>-4.0092512286788146E-2</v>
      </c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</row>
    <row r="124" spans="1:63" s="4" customFormat="1" x14ac:dyDescent="0.3">
      <c r="A124" s="60"/>
      <c r="B124" s="19" t="s">
        <v>41</v>
      </c>
      <c r="C124" s="20"/>
      <c r="D124" s="20"/>
      <c r="E124" s="20"/>
      <c r="F124" s="21"/>
      <c r="G124" s="22"/>
      <c r="H124" s="23">
        <f>SUM(H121:H123)</f>
        <v>76.921264000000008</v>
      </c>
      <c r="I124" s="13"/>
      <c r="J124" s="26"/>
      <c r="K124" s="22"/>
      <c r="L124" s="23">
        <f>SUM(L121:L123)</f>
        <v>68.280352000000022</v>
      </c>
      <c r="M124" s="13"/>
      <c r="N124" s="15">
        <f t="shared" si="11"/>
        <v>-8.6409119999999859</v>
      </c>
      <c r="O124" s="16">
        <f t="shared" si="15"/>
        <v>-0.11233450349957828</v>
      </c>
      <c r="P124" s="60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</row>
    <row r="125" spans="1:63" x14ac:dyDescent="0.3">
      <c r="B125" s="86" t="s">
        <v>42</v>
      </c>
      <c r="C125" s="73"/>
      <c r="D125" s="7" t="s">
        <v>27</v>
      </c>
      <c r="E125" s="73"/>
      <c r="F125" s="135">
        <v>4.4000000000000003E-3</v>
      </c>
      <c r="G125" s="18">
        <f>G123</f>
        <v>1037.7</v>
      </c>
      <c r="H125" s="139">
        <f t="shared" ref="H125:H133" si="16">G125*F125</f>
        <v>4.5658800000000008</v>
      </c>
      <c r="I125" s="76"/>
      <c r="J125" s="135">
        <f>+F125</f>
        <v>4.4000000000000003E-3</v>
      </c>
      <c r="K125" s="18">
        <f>K123</f>
        <v>1037.6000000000001</v>
      </c>
      <c r="L125" s="139">
        <f t="shared" ref="L125:L133" si="17">K125*J125</f>
        <v>4.5654400000000006</v>
      </c>
      <c r="M125" s="76"/>
      <c r="N125" s="137">
        <f t="shared" si="11"/>
        <v>-4.4000000000021799E-4</v>
      </c>
      <c r="O125" s="87">
        <f t="shared" si="15"/>
        <v>-9.6366965404307147E-5</v>
      </c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</row>
    <row r="126" spans="1:63" x14ac:dyDescent="0.3">
      <c r="B126" s="86" t="s">
        <v>43</v>
      </c>
      <c r="C126" s="73"/>
      <c r="D126" s="7" t="s">
        <v>27</v>
      </c>
      <c r="E126" s="73"/>
      <c r="F126" s="135">
        <v>1.1999999999999999E-3</v>
      </c>
      <c r="G126" s="18">
        <f>G123</f>
        <v>1037.7</v>
      </c>
      <c r="H126" s="139">
        <f t="shared" si="16"/>
        <v>1.2452399999999999</v>
      </c>
      <c r="I126" s="76"/>
      <c r="J126" s="135">
        <v>1.2999999999999999E-3</v>
      </c>
      <c r="K126" s="18">
        <f>K123</f>
        <v>1037.6000000000001</v>
      </c>
      <c r="L126" s="139">
        <f t="shared" si="17"/>
        <v>1.3488800000000001</v>
      </c>
      <c r="M126" s="76"/>
      <c r="N126" s="137">
        <f t="shared" si="11"/>
        <v>0.10364000000000018</v>
      </c>
      <c r="O126" s="87">
        <f t="shared" si="15"/>
        <v>8.3228935787478864E-2</v>
      </c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</row>
    <row r="127" spans="1:63" x14ac:dyDescent="0.3">
      <c r="B127" s="73" t="s">
        <v>44</v>
      </c>
      <c r="C127" s="73"/>
      <c r="D127" s="7" t="s">
        <v>24</v>
      </c>
      <c r="E127" s="73"/>
      <c r="F127" s="135">
        <v>0.25</v>
      </c>
      <c r="G127" s="81">
        <v>1</v>
      </c>
      <c r="H127" s="139">
        <f t="shared" si="16"/>
        <v>0.25</v>
      </c>
      <c r="I127" s="76"/>
      <c r="J127" s="135">
        <f>+F127</f>
        <v>0.25</v>
      </c>
      <c r="K127" s="77">
        <v>1</v>
      </c>
      <c r="L127" s="139">
        <f t="shared" si="17"/>
        <v>0.25</v>
      </c>
      <c r="M127" s="76"/>
      <c r="N127" s="137">
        <f t="shared" si="11"/>
        <v>0</v>
      </c>
      <c r="O127" s="87">
        <f t="shared" si="15"/>
        <v>0</v>
      </c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</row>
    <row r="128" spans="1:63" x14ac:dyDescent="0.3">
      <c r="B128" s="73" t="s">
        <v>45</v>
      </c>
      <c r="C128" s="73"/>
      <c r="D128" s="7" t="s">
        <v>27</v>
      </c>
      <c r="E128" s="73"/>
      <c r="F128" s="135">
        <v>7.0000000000000001E-3</v>
      </c>
      <c r="G128" s="84">
        <f>F92</f>
        <v>1000</v>
      </c>
      <c r="H128" s="139">
        <f t="shared" si="16"/>
        <v>7</v>
      </c>
      <c r="I128" s="76"/>
      <c r="J128" s="135">
        <f>+F128</f>
        <v>7.0000000000000001E-3</v>
      </c>
      <c r="K128" s="77">
        <f>F92</f>
        <v>1000</v>
      </c>
      <c r="L128" s="139">
        <f t="shared" si="17"/>
        <v>7</v>
      </c>
      <c r="M128" s="76"/>
      <c r="N128" s="137">
        <f t="shared" si="11"/>
        <v>0</v>
      </c>
      <c r="O128" s="87">
        <f t="shared" si="15"/>
        <v>0</v>
      </c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</row>
    <row r="129" spans="1:63" x14ac:dyDescent="0.3">
      <c r="B129" s="80" t="s">
        <v>46</v>
      </c>
      <c r="C129" s="73"/>
      <c r="D129" s="7" t="s">
        <v>27</v>
      </c>
      <c r="E129" s="73"/>
      <c r="F129" s="138">
        <v>6.7000000000000004E-2</v>
      </c>
      <c r="G129" s="27">
        <f>0.64*$F92</f>
        <v>640</v>
      </c>
      <c r="H129" s="139">
        <f t="shared" si="16"/>
        <v>42.88</v>
      </c>
      <c r="I129" s="76"/>
      <c r="J129" s="138">
        <v>6.7000000000000004E-2</v>
      </c>
      <c r="K129" s="28">
        <f>G129</f>
        <v>640</v>
      </c>
      <c r="L129" s="139">
        <f t="shared" si="17"/>
        <v>42.88</v>
      </c>
      <c r="M129" s="76"/>
      <c r="N129" s="137">
        <f t="shared" si="11"/>
        <v>0</v>
      </c>
      <c r="O129" s="87">
        <f t="shared" si="15"/>
        <v>0</v>
      </c>
      <c r="Q129" s="126"/>
      <c r="R129" s="126"/>
      <c r="S129" s="127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</row>
    <row r="130" spans="1:63" x14ac:dyDescent="0.3">
      <c r="B130" s="80" t="s">
        <v>47</v>
      </c>
      <c r="C130" s="73"/>
      <c r="D130" s="7" t="s">
        <v>27</v>
      </c>
      <c r="E130" s="73"/>
      <c r="F130" s="138">
        <v>0.104</v>
      </c>
      <c r="G130" s="27">
        <f>0.18*$F92</f>
        <v>180</v>
      </c>
      <c r="H130" s="139">
        <f t="shared" si="16"/>
        <v>18.72</v>
      </c>
      <c r="I130" s="76"/>
      <c r="J130" s="138">
        <v>0.104</v>
      </c>
      <c r="K130" s="28">
        <f>G130</f>
        <v>180</v>
      </c>
      <c r="L130" s="139">
        <f t="shared" si="17"/>
        <v>18.72</v>
      </c>
      <c r="M130" s="76"/>
      <c r="N130" s="137">
        <f t="shared" si="11"/>
        <v>0</v>
      </c>
      <c r="O130" s="87">
        <f t="shared" si="15"/>
        <v>0</v>
      </c>
      <c r="Q130" s="126"/>
      <c r="R130" s="126"/>
      <c r="S130" s="127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</row>
    <row r="131" spans="1:63" x14ac:dyDescent="0.3">
      <c r="B131" s="64" t="s">
        <v>48</v>
      </c>
      <c r="C131" s="73"/>
      <c r="D131" s="7" t="s">
        <v>27</v>
      </c>
      <c r="E131" s="73"/>
      <c r="F131" s="138">
        <v>0.124</v>
      </c>
      <c r="G131" s="27">
        <f>0.18*$F92</f>
        <v>180</v>
      </c>
      <c r="H131" s="139">
        <f t="shared" si="16"/>
        <v>22.32</v>
      </c>
      <c r="I131" s="76"/>
      <c r="J131" s="138">
        <v>0.124</v>
      </c>
      <c r="K131" s="28">
        <f>G131</f>
        <v>180</v>
      </c>
      <c r="L131" s="139">
        <f t="shared" si="17"/>
        <v>22.32</v>
      </c>
      <c r="M131" s="76"/>
      <c r="N131" s="137">
        <f t="shared" si="11"/>
        <v>0</v>
      </c>
      <c r="O131" s="87">
        <f t="shared" si="15"/>
        <v>0</v>
      </c>
      <c r="Q131" s="126"/>
      <c r="R131" s="126"/>
      <c r="S131" s="127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</row>
    <row r="132" spans="1:63" s="92" customFormat="1" x14ac:dyDescent="0.25">
      <c r="B132" s="89" t="s">
        <v>49</v>
      </c>
      <c r="C132" s="90"/>
      <c r="D132" s="29" t="s">
        <v>27</v>
      </c>
      <c r="E132" s="90"/>
      <c r="F132" s="138">
        <v>7.4999999999999997E-2</v>
      </c>
      <c r="G132" s="30">
        <f>IF(AND($T$1=1, F92&gt;=750), 750, IF(AND($T$1=1, AND(F92&lt;750, F92&gt;=0)), F92, IF(AND($T$1=2, F92&gt;=750), 750, IF(AND($T$1=2, AND(F92&lt;750, F92&gt;=0)), F92))))</f>
        <v>750</v>
      </c>
      <c r="H132" s="139">
        <f t="shared" si="16"/>
        <v>56.25</v>
      </c>
      <c r="I132" s="91"/>
      <c r="J132" s="138">
        <v>7.4999999999999997E-2</v>
      </c>
      <c r="K132" s="31">
        <f>G132</f>
        <v>750</v>
      </c>
      <c r="L132" s="139">
        <f t="shared" si="17"/>
        <v>56.25</v>
      </c>
      <c r="M132" s="91"/>
      <c r="N132" s="140">
        <f t="shared" si="11"/>
        <v>0</v>
      </c>
      <c r="O132" s="87">
        <f t="shared" si="15"/>
        <v>0</v>
      </c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  <c r="AC132" s="128"/>
    </row>
    <row r="133" spans="1:63" s="92" customFormat="1" ht="15" thickBot="1" x14ac:dyDescent="0.3">
      <c r="B133" s="89" t="s">
        <v>50</v>
      </c>
      <c r="C133" s="90"/>
      <c r="D133" s="29" t="s">
        <v>27</v>
      </c>
      <c r="E133" s="90"/>
      <c r="F133" s="138">
        <v>8.7999999999999995E-2</v>
      </c>
      <c r="G133" s="30">
        <f>IF(AND($T$1=1, F92&gt;=750), F92-750, IF(AND($T$1=1, AND(F92&lt;750, F92&gt;=0)), 0, IF(AND($T$1=2, F92&gt;=750), F92-750, IF(AND($T$1=2, AND(F92&lt;750, F92&gt;=0)), 0))))</f>
        <v>250</v>
      </c>
      <c r="H133" s="139">
        <f t="shared" si="16"/>
        <v>22</v>
      </c>
      <c r="I133" s="91"/>
      <c r="J133" s="138">
        <v>8.7999999999999995E-2</v>
      </c>
      <c r="K133" s="31">
        <f>G133</f>
        <v>250</v>
      </c>
      <c r="L133" s="139">
        <f t="shared" si="17"/>
        <v>22</v>
      </c>
      <c r="M133" s="91"/>
      <c r="N133" s="140">
        <f t="shared" si="11"/>
        <v>0</v>
      </c>
      <c r="O133" s="87">
        <f t="shared" si="15"/>
        <v>0</v>
      </c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</row>
    <row r="134" spans="1:63" s="4" customFormat="1" ht="15" thickBot="1" x14ac:dyDescent="0.35">
      <c r="A134" s="60"/>
      <c r="B134" s="32"/>
      <c r="C134" s="33"/>
      <c r="D134" s="124"/>
      <c r="E134" s="33"/>
      <c r="F134" s="35"/>
      <c r="G134" s="36"/>
      <c r="H134" s="122"/>
      <c r="I134" s="123"/>
      <c r="J134" s="35"/>
      <c r="K134" s="39"/>
      <c r="L134" s="122"/>
      <c r="M134" s="123"/>
      <c r="N134" s="40"/>
      <c r="O134" s="41"/>
      <c r="P134" s="60"/>
      <c r="Q134" s="126"/>
      <c r="R134" s="126"/>
      <c r="S134" s="126"/>
      <c r="T134" s="126"/>
      <c r="U134" s="126"/>
      <c r="V134" s="126"/>
      <c r="W134" s="126"/>
      <c r="X134" s="126"/>
      <c r="Y134" s="126"/>
      <c r="Z134" s="126"/>
      <c r="AA134" s="126"/>
      <c r="AB134" s="126"/>
      <c r="AC134" s="126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</row>
    <row r="135" spans="1:63" x14ac:dyDescent="0.3">
      <c r="B135" s="93" t="s">
        <v>51</v>
      </c>
      <c r="C135" s="73"/>
      <c r="D135" s="73"/>
      <c r="E135" s="73"/>
      <c r="F135" s="94"/>
      <c r="G135" s="95"/>
      <c r="H135" s="141">
        <f>SUM(H125:H131,H124)</f>
        <v>173.90238400000001</v>
      </c>
      <c r="I135" s="96"/>
      <c r="J135" s="97"/>
      <c r="K135" s="97"/>
      <c r="L135" s="144">
        <f>SUM(L125:L131,L124)</f>
        <v>165.36467200000001</v>
      </c>
      <c r="M135" s="145"/>
      <c r="N135" s="146">
        <f>L135-H135</f>
        <v>-8.5377119999999991</v>
      </c>
      <c r="O135" s="98">
        <f>IF((H135)=0,"",(N135/H135))</f>
        <v>-4.9094853121737531E-2</v>
      </c>
      <c r="Q135" s="126"/>
      <c r="R135" s="126"/>
      <c r="S135" s="127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</row>
    <row r="136" spans="1:63" x14ac:dyDescent="0.3">
      <c r="B136" s="99" t="s">
        <v>52</v>
      </c>
      <c r="C136" s="73"/>
      <c r="D136" s="73"/>
      <c r="E136" s="73"/>
      <c r="F136" s="100">
        <v>0.13</v>
      </c>
      <c r="G136" s="101"/>
      <c r="H136" s="142">
        <f>H135*F136</f>
        <v>22.607309920000002</v>
      </c>
      <c r="I136" s="102"/>
      <c r="J136" s="103">
        <v>0.13</v>
      </c>
      <c r="K136" s="102"/>
      <c r="L136" s="147">
        <f>L135*J136</f>
        <v>21.497407360000004</v>
      </c>
      <c r="M136" s="148"/>
      <c r="N136" s="149">
        <f>L136-H136</f>
        <v>-1.1099025599999983</v>
      </c>
      <c r="O136" s="104">
        <f>IF((H136)=0,"",(N136/H136))</f>
        <v>-4.9094853121737461E-2</v>
      </c>
      <c r="Q136" s="126"/>
      <c r="R136" s="126"/>
      <c r="S136" s="127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</row>
    <row r="137" spans="1:63" x14ac:dyDescent="0.3">
      <c r="B137" s="105" t="s">
        <v>53</v>
      </c>
      <c r="C137" s="73"/>
      <c r="D137" s="73"/>
      <c r="E137" s="73"/>
      <c r="F137" s="106"/>
      <c r="G137" s="101"/>
      <c r="H137" s="142">
        <f>H135+H136</f>
        <v>196.50969392000002</v>
      </c>
      <c r="I137" s="102"/>
      <c r="J137" s="102"/>
      <c r="K137" s="102"/>
      <c r="L137" s="147">
        <f>L135+L136</f>
        <v>186.86207936000002</v>
      </c>
      <c r="M137" s="148"/>
      <c r="N137" s="149">
        <f>L137-H137</f>
        <v>-9.6476145599999938</v>
      </c>
      <c r="O137" s="104">
        <f>IF((H137)=0,"",(N137/H137))</f>
        <v>-4.9094853121737503E-2</v>
      </c>
      <c r="Q137" s="126"/>
      <c r="R137" s="126"/>
      <c r="S137" s="127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</row>
    <row r="138" spans="1:63" ht="14.4" customHeight="1" x14ac:dyDescent="0.3">
      <c r="B138" s="172" t="s">
        <v>54</v>
      </c>
      <c r="C138" s="172"/>
      <c r="D138" s="172"/>
      <c r="E138" s="73"/>
      <c r="F138" s="106"/>
      <c r="G138" s="101"/>
      <c r="H138" s="143">
        <f>ROUND(-H137*10%,2)</f>
        <v>-19.649999999999999</v>
      </c>
      <c r="I138" s="102"/>
      <c r="J138" s="102"/>
      <c r="K138" s="102"/>
      <c r="L138" s="150">
        <f>ROUND(-L137*10%,2)</f>
        <v>-18.690000000000001</v>
      </c>
      <c r="M138" s="148"/>
      <c r="N138" s="151">
        <f>L138-H138</f>
        <v>0.9599999999999973</v>
      </c>
      <c r="O138" s="107">
        <f>IF((H138)=0,"",(N138/H138))</f>
        <v>-4.8854961832060936E-2</v>
      </c>
      <c r="Q138" s="126"/>
      <c r="R138" s="126"/>
      <c r="S138" s="126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</row>
    <row r="139" spans="1:63" s="4" customFormat="1" ht="15" thickBot="1" x14ac:dyDescent="0.35">
      <c r="A139" s="60"/>
      <c r="B139" s="173" t="s">
        <v>55</v>
      </c>
      <c r="C139" s="173"/>
      <c r="D139" s="173"/>
      <c r="E139" s="42"/>
      <c r="F139" s="43"/>
      <c r="G139" s="44"/>
      <c r="H139" s="45">
        <f>H137+H138</f>
        <v>176.85969392000001</v>
      </c>
      <c r="I139" s="46"/>
      <c r="J139" s="46"/>
      <c r="K139" s="46"/>
      <c r="L139" s="47">
        <f>L137+L138</f>
        <v>168.17207936000003</v>
      </c>
      <c r="M139" s="48"/>
      <c r="N139" s="49">
        <f>L139-H139</f>
        <v>-8.6876145599999859</v>
      </c>
      <c r="O139" s="50">
        <f>IF((H139)=0,"",(N139/H139))</f>
        <v>-4.9121506248505135E-2</v>
      </c>
      <c r="P139" s="60"/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</row>
    <row r="140" spans="1:63" s="4" customFormat="1" ht="15" thickBot="1" x14ac:dyDescent="0.35">
      <c r="A140" s="60"/>
      <c r="B140" s="32"/>
      <c r="C140" s="33"/>
      <c r="D140" s="34"/>
      <c r="E140" s="33"/>
      <c r="F140" s="35"/>
      <c r="G140" s="36"/>
      <c r="H140" s="37"/>
      <c r="I140" s="38"/>
      <c r="J140" s="35"/>
      <c r="K140" s="39"/>
      <c r="L140" s="37"/>
      <c r="M140" s="123"/>
      <c r="N140" s="40"/>
      <c r="O140" s="41"/>
      <c r="P140" s="60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</row>
    <row r="141" spans="1:63" s="92" customFormat="1" ht="13.2" x14ac:dyDescent="0.25">
      <c r="B141" s="108" t="s">
        <v>56</v>
      </c>
      <c r="C141" s="90"/>
      <c r="D141" s="90"/>
      <c r="E141" s="90"/>
      <c r="F141" s="109"/>
      <c r="G141" s="110"/>
      <c r="H141" s="152">
        <f>SUM(H132:H133,H124,H125:H128)</f>
        <v>168.232384</v>
      </c>
      <c r="I141" s="111"/>
      <c r="J141" s="112"/>
      <c r="K141" s="112"/>
      <c r="L141" s="155">
        <f>SUM(L132:L133,L124,L125:L128)</f>
        <v>159.69467200000003</v>
      </c>
      <c r="M141" s="156"/>
      <c r="N141" s="157">
        <f>L141-H141</f>
        <v>-8.5377119999999707</v>
      </c>
      <c r="O141" s="98">
        <f>IF((H141)=0,"",(N141/H141))</f>
        <v>-5.0749515622390343E-2</v>
      </c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  <c r="AA141" s="128"/>
      <c r="AB141" s="128"/>
      <c r="AC141" s="128"/>
    </row>
    <row r="142" spans="1:63" s="92" customFormat="1" ht="13.2" x14ac:dyDescent="0.25">
      <c r="B142" s="113" t="s">
        <v>52</v>
      </c>
      <c r="C142" s="90"/>
      <c r="D142" s="90"/>
      <c r="E142" s="90"/>
      <c r="F142" s="114">
        <v>0.13</v>
      </c>
      <c r="G142" s="110"/>
      <c r="H142" s="153">
        <f>H141*F142</f>
        <v>21.870209920000001</v>
      </c>
      <c r="I142" s="115"/>
      <c r="J142" s="116">
        <v>0.13</v>
      </c>
      <c r="K142" s="117"/>
      <c r="L142" s="158">
        <f>L141*J142</f>
        <v>20.760307360000002</v>
      </c>
      <c r="M142" s="159"/>
      <c r="N142" s="160">
        <f>L142-H142</f>
        <v>-1.1099025599999983</v>
      </c>
      <c r="O142" s="104">
        <f>IF((H142)=0,"",(N142/H142))</f>
        <v>-5.0749515622390433E-2</v>
      </c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</row>
    <row r="143" spans="1:63" s="92" customFormat="1" ht="13.2" x14ac:dyDescent="0.25">
      <c r="B143" s="118" t="s">
        <v>53</v>
      </c>
      <c r="C143" s="90"/>
      <c r="D143" s="90"/>
      <c r="E143" s="90"/>
      <c r="F143" s="119"/>
      <c r="G143" s="120"/>
      <c r="H143" s="153">
        <f>H141+H142</f>
        <v>190.10259392</v>
      </c>
      <c r="I143" s="115"/>
      <c r="J143" s="115"/>
      <c r="K143" s="115"/>
      <c r="L143" s="158">
        <f>L141+L142</f>
        <v>180.45497936000004</v>
      </c>
      <c r="M143" s="159"/>
      <c r="N143" s="160">
        <f>L143-H143</f>
        <v>-9.6476145599999654</v>
      </c>
      <c r="O143" s="104">
        <f>IF((H143)=0,"",(N143/H143))</f>
        <v>-5.0749515622390329E-2</v>
      </c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</row>
    <row r="144" spans="1:63" s="92" customFormat="1" ht="13.2" customHeight="1" x14ac:dyDescent="0.25">
      <c r="B144" s="174" t="s">
        <v>54</v>
      </c>
      <c r="C144" s="174"/>
      <c r="D144" s="174"/>
      <c r="E144" s="90"/>
      <c r="F144" s="119"/>
      <c r="G144" s="120"/>
      <c r="H144" s="154">
        <f>ROUND(-H143*10%,2)</f>
        <v>-19.010000000000002</v>
      </c>
      <c r="I144" s="115"/>
      <c r="J144" s="115"/>
      <c r="K144" s="115"/>
      <c r="L144" s="161">
        <f>ROUND(-L143*10%,2)</f>
        <v>-18.05</v>
      </c>
      <c r="M144" s="159"/>
      <c r="N144" s="162">
        <f>L144-H144</f>
        <v>0.96000000000000085</v>
      </c>
      <c r="O144" s="107">
        <f>IF((H144)=0,"",(N144/H144))</f>
        <v>-5.04997369805366E-2</v>
      </c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</row>
    <row r="145" spans="1:63" s="4" customFormat="1" ht="15" thickBot="1" x14ac:dyDescent="0.35">
      <c r="A145" s="60"/>
      <c r="B145" s="173" t="s">
        <v>57</v>
      </c>
      <c r="C145" s="173"/>
      <c r="D145" s="173"/>
      <c r="E145" s="42"/>
      <c r="F145" s="43"/>
      <c r="G145" s="44"/>
      <c r="H145" s="45">
        <f>SUM(H143:H144)</f>
        <v>171.09259392000001</v>
      </c>
      <c r="I145" s="46"/>
      <c r="J145" s="46"/>
      <c r="K145" s="46"/>
      <c r="L145" s="47">
        <f>SUM(L143:L144)</f>
        <v>162.40497936000003</v>
      </c>
      <c r="M145" s="48"/>
      <c r="N145" s="49">
        <f>L145-H145</f>
        <v>-8.6876145599999859</v>
      </c>
      <c r="O145" s="50">
        <f>IF((H145)=0,"",(N145/H145))</f>
        <v>-5.0777268384055052E-2</v>
      </c>
      <c r="P145" s="60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  <c r="AA145" s="126"/>
      <c r="AB145" s="126"/>
      <c r="AC145" s="126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</row>
    <row r="146" spans="1:63" s="4" customFormat="1" ht="15" thickBot="1" x14ac:dyDescent="0.35">
      <c r="A146" s="60"/>
      <c r="B146" s="32"/>
      <c r="C146" s="33"/>
      <c r="D146" s="34"/>
      <c r="E146" s="33"/>
      <c r="F146" s="35"/>
      <c r="G146" s="36"/>
      <c r="H146" s="122"/>
      <c r="I146" s="123"/>
      <c r="J146" s="35"/>
      <c r="K146" s="39"/>
      <c r="L146" s="37"/>
      <c r="M146" s="123"/>
      <c r="N146" s="40"/>
      <c r="O146" s="41"/>
      <c r="P146" s="60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</row>
    <row r="147" spans="1:63" x14ac:dyDescent="0.3">
      <c r="L147" s="88"/>
    </row>
    <row r="148" spans="1:63" x14ac:dyDescent="0.3">
      <c r="B148" s="65" t="s">
        <v>58</v>
      </c>
      <c r="F148" s="51">
        <v>3.7699999999999997E-2</v>
      </c>
      <c r="J148" s="51">
        <f>+Residential!$J$74</f>
        <v>3.7600000000000001E-2</v>
      </c>
    </row>
    <row r="150" spans="1:63" x14ac:dyDescent="0.3">
      <c r="L150" s="56"/>
      <c r="M150" s="56"/>
      <c r="N150" s="56"/>
      <c r="O150" s="56"/>
      <c r="P150" s="56"/>
    </row>
    <row r="151" spans="1:63" ht="16.2" x14ac:dyDescent="0.3">
      <c r="A151" s="121" t="s">
        <v>59</v>
      </c>
    </row>
    <row r="153" spans="1:63" x14ac:dyDescent="0.3">
      <c r="A153" s="60" t="s">
        <v>60</v>
      </c>
    </row>
    <row r="154" spans="1:63" x14ac:dyDescent="0.3">
      <c r="A154" s="60" t="s">
        <v>61</v>
      </c>
    </row>
    <row r="156" spans="1:63" x14ac:dyDescent="0.3">
      <c r="B156" s="60" t="s">
        <v>62</v>
      </c>
    </row>
    <row r="157" spans="1:63" x14ac:dyDescent="0.3">
      <c r="A157" s="64"/>
    </row>
    <row r="158" spans="1:63" ht="18.75" customHeight="1" x14ac:dyDescent="0.3">
      <c r="B158" s="175" t="s">
        <v>6</v>
      </c>
      <c r="C158" s="175"/>
      <c r="D158" s="175"/>
      <c r="E158" s="175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  <c r="P158" s="56"/>
    </row>
    <row r="159" spans="1:63" ht="19.2" customHeight="1" x14ac:dyDescent="0.3">
      <c r="B159" s="175" t="s">
        <v>7</v>
      </c>
      <c r="C159" s="175"/>
      <c r="D159" s="175"/>
      <c r="E159" s="175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56"/>
    </row>
    <row r="160" spans="1:63" ht="7.5" customHeight="1" x14ac:dyDescent="0.3">
      <c r="L160" s="56"/>
      <c r="M160" s="56"/>
      <c r="N160" s="56"/>
      <c r="O160" s="56"/>
      <c r="P160" s="56"/>
    </row>
    <row r="161" spans="2:29" ht="7.5" customHeight="1" x14ac:dyDescent="0.3">
      <c r="L161" s="56"/>
      <c r="M161" s="56"/>
      <c r="N161" s="56"/>
      <c r="O161" s="56"/>
      <c r="P161" s="56"/>
    </row>
    <row r="162" spans="2:29" ht="15.6" x14ac:dyDescent="0.3">
      <c r="B162" s="61" t="s">
        <v>8</v>
      </c>
      <c r="D162" s="185" t="s">
        <v>65</v>
      </c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</row>
    <row r="163" spans="2:29" ht="7.5" customHeight="1" x14ac:dyDescent="0.3">
      <c r="B163" s="62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</row>
    <row r="164" spans="2:29" ht="15.6" x14ac:dyDescent="0.3">
      <c r="B164" s="61" t="s">
        <v>9</v>
      </c>
      <c r="D164" s="5" t="s">
        <v>10</v>
      </c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</row>
    <row r="165" spans="2:29" ht="15.6" x14ac:dyDescent="0.3">
      <c r="B165" s="62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</row>
    <row r="166" spans="2:29" ht="15" customHeight="1" x14ac:dyDescent="0.3">
      <c r="B166" s="64"/>
      <c r="D166" s="65" t="s">
        <v>11</v>
      </c>
      <c r="E166" s="65"/>
      <c r="F166" s="6">
        <v>5000</v>
      </c>
      <c r="G166" s="65" t="s">
        <v>12</v>
      </c>
    </row>
    <row r="167" spans="2:29" x14ac:dyDescent="0.3">
      <c r="B167" s="64"/>
      <c r="G167" s="65"/>
    </row>
    <row r="168" spans="2:29" x14ac:dyDescent="0.3">
      <c r="B168" s="64"/>
      <c r="D168" s="66"/>
      <c r="E168" s="66"/>
      <c r="F168" s="176" t="s">
        <v>13</v>
      </c>
      <c r="G168" s="177"/>
      <c r="H168" s="178"/>
      <c r="J168" s="176" t="s">
        <v>14</v>
      </c>
      <c r="K168" s="177"/>
      <c r="L168" s="178"/>
      <c r="N168" s="176" t="s">
        <v>15</v>
      </c>
      <c r="O168" s="178"/>
      <c r="Q168" s="126"/>
      <c r="R168" s="126"/>
      <c r="S168" s="126"/>
      <c r="T168" s="126"/>
      <c r="U168" s="126"/>
      <c r="V168" s="126"/>
      <c r="W168" s="126"/>
      <c r="X168" s="126"/>
      <c r="Y168" s="126"/>
      <c r="Z168" s="126"/>
      <c r="AA168" s="126"/>
      <c r="AB168" s="126"/>
      <c r="AC168" s="126"/>
    </row>
    <row r="169" spans="2:29" x14ac:dyDescent="0.3">
      <c r="B169" s="64"/>
      <c r="D169" s="179" t="s">
        <v>16</v>
      </c>
      <c r="E169" s="67"/>
      <c r="F169" s="68" t="s">
        <v>17</v>
      </c>
      <c r="G169" s="68" t="s">
        <v>18</v>
      </c>
      <c r="H169" s="69" t="s">
        <v>19</v>
      </c>
      <c r="J169" s="68" t="s">
        <v>17</v>
      </c>
      <c r="K169" s="70" t="s">
        <v>18</v>
      </c>
      <c r="L169" s="69" t="s">
        <v>19</v>
      </c>
      <c r="N169" s="181" t="s">
        <v>20</v>
      </c>
      <c r="O169" s="183" t="s">
        <v>21</v>
      </c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</row>
    <row r="170" spans="2:29" x14ac:dyDescent="0.3">
      <c r="B170" s="64"/>
      <c r="D170" s="180"/>
      <c r="E170" s="67"/>
      <c r="F170" s="71" t="s">
        <v>22</v>
      </c>
      <c r="G170" s="71"/>
      <c r="H170" s="72" t="s">
        <v>22</v>
      </c>
      <c r="J170" s="71" t="s">
        <v>22</v>
      </c>
      <c r="K170" s="72"/>
      <c r="L170" s="72" t="s">
        <v>22</v>
      </c>
      <c r="N170" s="182"/>
      <c r="O170" s="184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</row>
    <row r="171" spans="2:29" x14ac:dyDescent="0.3">
      <c r="B171" s="73" t="s">
        <v>23</v>
      </c>
      <c r="C171" s="73"/>
      <c r="D171" s="7" t="s">
        <v>24</v>
      </c>
      <c r="E171" s="73"/>
      <c r="F171" s="129">
        <v>32.24</v>
      </c>
      <c r="G171" s="74">
        <v>1</v>
      </c>
      <c r="H171" s="75">
        <f t="shared" ref="H171:H186" si="18">G171*F171</f>
        <v>32.24</v>
      </c>
      <c r="I171" s="76"/>
      <c r="J171" s="129">
        <v>34.71</v>
      </c>
      <c r="K171" s="77">
        <v>1</v>
      </c>
      <c r="L171" s="75">
        <f t="shared" ref="L171:L186" si="19">K171*J171</f>
        <v>34.71</v>
      </c>
      <c r="M171" s="76"/>
      <c r="N171" s="78">
        <f t="shared" ref="N171:N207" si="20">L171-H171</f>
        <v>2.4699999999999989</v>
      </c>
      <c r="O171" s="79">
        <f t="shared" ref="O171:O193" si="21">IF((H171)=0,"",(N171/H171))</f>
        <v>7.6612903225806411E-2</v>
      </c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</row>
    <row r="172" spans="2:29" x14ac:dyDescent="0.3">
      <c r="B172" s="73" t="s">
        <v>25</v>
      </c>
      <c r="C172" s="73"/>
      <c r="D172" s="7" t="s">
        <v>24</v>
      </c>
      <c r="E172" s="73"/>
      <c r="F172" s="133">
        <v>7.33</v>
      </c>
      <c r="G172" s="74">
        <v>1</v>
      </c>
      <c r="H172" s="136">
        <f t="shared" si="18"/>
        <v>7.33</v>
      </c>
      <c r="I172" s="76"/>
      <c r="J172" s="130"/>
      <c r="K172" s="77">
        <v>1</v>
      </c>
      <c r="L172" s="136">
        <f t="shared" si="19"/>
        <v>0</v>
      </c>
      <c r="M172" s="76"/>
      <c r="N172" s="137">
        <f t="shared" si="20"/>
        <v>-7.33</v>
      </c>
      <c r="O172" s="79">
        <f t="shared" si="21"/>
        <v>-1</v>
      </c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</row>
    <row r="173" spans="2:29" x14ac:dyDescent="0.3">
      <c r="B173" s="9"/>
      <c r="C173" s="73"/>
      <c r="D173" s="7"/>
      <c r="E173" s="73"/>
      <c r="F173" s="134"/>
      <c r="G173" s="74">
        <v>1</v>
      </c>
      <c r="H173" s="136">
        <f t="shared" si="18"/>
        <v>0</v>
      </c>
      <c r="I173" s="76"/>
      <c r="J173" s="131"/>
      <c r="K173" s="77">
        <v>1</v>
      </c>
      <c r="L173" s="136">
        <f t="shared" si="19"/>
        <v>0</v>
      </c>
      <c r="M173" s="76"/>
      <c r="N173" s="137">
        <f t="shared" si="20"/>
        <v>0</v>
      </c>
      <c r="O173" s="79" t="str">
        <f t="shared" si="21"/>
        <v/>
      </c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</row>
    <row r="174" spans="2:29" x14ac:dyDescent="0.3">
      <c r="B174" s="9"/>
      <c r="C174" s="73"/>
      <c r="D174" s="7"/>
      <c r="E174" s="73"/>
      <c r="F174" s="134"/>
      <c r="G174" s="74">
        <v>1</v>
      </c>
      <c r="H174" s="136">
        <f t="shared" si="18"/>
        <v>0</v>
      </c>
      <c r="I174" s="76"/>
      <c r="J174" s="131"/>
      <c r="K174" s="77">
        <v>1</v>
      </c>
      <c r="L174" s="136">
        <f t="shared" si="19"/>
        <v>0</v>
      </c>
      <c r="M174" s="76"/>
      <c r="N174" s="137">
        <f t="shared" si="20"/>
        <v>0</v>
      </c>
      <c r="O174" s="79" t="str">
        <f t="shared" si="21"/>
        <v/>
      </c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</row>
    <row r="175" spans="2:29" x14ac:dyDescent="0.3">
      <c r="B175" s="10"/>
      <c r="C175" s="73"/>
      <c r="D175" s="7"/>
      <c r="E175" s="73"/>
      <c r="F175" s="134"/>
      <c r="G175" s="74">
        <v>1</v>
      </c>
      <c r="H175" s="136">
        <f t="shared" si="18"/>
        <v>0</v>
      </c>
      <c r="I175" s="76"/>
      <c r="J175" s="131"/>
      <c r="K175" s="77">
        <v>1</v>
      </c>
      <c r="L175" s="136">
        <f t="shared" si="19"/>
        <v>0</v>
      </c>
      <c r="M175" s="76"/>
      <c r="N175" s="137">
        <f t="shared" si="20"/>
        <v>0</v>
      </c>
      <c r="O175" s="79" t="str">
        <f t="shared" si="21"/>
        <v/>
      </c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</row>
    <row r="176" spans="2:29" x14ac:dyDescent="0.3">
      <c r="B176" s="10"/>
      <c r="C176" s="73"/>
      <c r="D176" s="7"/>
      <c r="E176" s="73"/>
      <c r="F176" s="134"/>
      <c r="G176" s="74">
        <v>1</v>
      </c>
      <c r="H176" s="136">
        <f t="shared" si="18"/>
        <v>0</v>
      </c>
      <c r="I176" s="76"/>
      <c r="J176" s="131"/>
      <c r="K176" s="77">
        <v>1</v>
      </c>
      <c r="L176" s="136">
        <f t="shared" si="19"/>
        <v>0</v>
      </c>
      <c r="M176" s="76"/>
      <c r="N176" s="137">
        <f t="shared" si="20"/>
        <v>0</v>
      </c>
      <c r="O176" s="79" t="str">
        <f t="shared" si="21"/>
        <v/>
      </c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</row>
    <row r="177" spans="1:63" x14ac:dyDescent="0.3">
      <c r="B177" s="73" t="s">
        <v>26</v>
      </c>
      <c r="C177" s="73"/>
      <c r="D177" s="7" t="s">
        <v>27</v>
      </c>
      <c r="E177" s="73"/>
      <c r="F177" s="135">
        <v>1.4200000000000001E-2</v>
      </c>
      <c r="G177" s="74">
        <f>$F166</f>
        <v>5000</v>
      </c>
      <c r="H177" s="136">
        <f t="shared" si="18"/>
        <v>71</v>
      </c>
      <c r="I177" s="76"/>
      <c r="J177" s="132">
        <v>1.5299999999999999E-2</v>
      </c>
      <c r="K177" s="74">
        <f>$F166</f>
        <v>5000</v>
      </c>
      <c r="L177" s="136">
        <f t="shared" si="19"/>
        <v>76.5</v>
      </c>
      <c r="M177" s="76"/>
      <c r="N177" s="137">
        <f t="shared" si="20"/>
        <v>5.5</v>
      </c>
      <c r="O177" s="79">
        <f t="shared" si="21"/>
        <v>7.746478873239436E-2</v>
      </c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</row>
    <row r="178" spans="1:63" x14ac:dyDescent="0.3">
      <c r="B178" s="73" t="s">
        <v>28</v>
      </c>
      <c r="C178" s="73"/>
      <c r="D178" s="7" t="s">
        <v>24</v>
      </c>
      <c r="E178" s="73"/>
      <c r="F178" s="135">
        <v>4.63</v>
      </c>
      <c r="G178" s="74">
        <v>1</v>
      </c>
      <c r="H178" s="136">
        <f t="shared" si="18"/>
        <v>4.63</v>
      </c>
      <c r="I178" s="76"/>
      <c r="J178" s="132"/>
      <c r="K178" s="74">
        <v>1</v>
      </c>
      <c r="L178" s="136">
        <f t="shared" si="19"/>
        <v>0</v>
      </c>
      <c r="M178" s="76"/>
      <c r="N178" s="137">
        <f t="shared" si="20"/>
        <v>-4.63</v>
      </c>
      <c r="O178" s="79">
        <f t="shared" si="21"/>
        <v>-1</v>
      </c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</row>
    <row r="179" spans="1:63" x14ac:dyDescent="0.3">
      <c r="B179" s="73" t="s">
        <v>29</v>
      </c>
      <c r="C179" s="73"/>
      <c r="D179" s="7" t="s">
        <v>27</v>
      </c>
      <c r="E179" s="73"/>
      <c r="F179" s="135">
        <v>0</v>
      </c>
      <c r="G179" s="74">
        <f>$F166</f>
        <v>5000</v>
      </c>
      <c r="H179" s="136">
        <f t="shared" si="18"/>
        <v>0</v>
      </c>
      <c r="I179" s="76"/>
      <c r="J179" s="171">
        <v>0</v>
      </c>
      <c r="K179" s="74">
        <f>$F166</f>
        <v>5000</v>
      </c>
      <c r="L179" s="136">
        <f t="shared" si="19"/>
        <v>0</v>
      </c>
      <c r="M179" s="76"/>
      <c r="N179" s="137">
        <f t="shared" si="20"/>
        <v>0</v>
      </c>
      <c r="O179" s="79" t="str">
        <f t="shared" si="21"/>
        <v/>
      </c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</row>
    <row r="180" spans="1:63" x14ac:dyDescent="0.3">
      <c r="B180" s="11" t="s">
        <v>30</v>
      </c>
      <c r="C180" s="73"/>
      <c r="D180" s="7" t="s">
        <v>27</v>
      </c>
      <c r="E180" s="73"/>
      <c r="F180" s="135">
        <v>1.5E-3</v>
      </c>
      <c r="G180" s="74">
        <f>$F166</f>
        <v>5000</v>
      </c>
      <c r="H180" s="136">
        <f t="shared" si="18"/>
        <v>7.5</v>
      </c>
      <c r="I180" s="76"/>
      <c r="J180" s="132"/>
      <c r="K180" s="74">
        <f>$F166</f>
        <v>5000</v>
      </c>
      <c r="L180" s="136">
        <f t="shared" si="19"/>
        <v>0</v>
      </c>
      <c r="M180" s="76"/>
      <c r="N180" s="137">
        <f t="shared" si="20"/>
        <v>-7.5</v>
      </c>
      <c r="O180" s="79">
        <f t="shared" si="21"/>
        <v>-1</v>
      </c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</row>
    <row r="181" spans="1:63" x14ac:dyDescent="0.3">
      <c r="B181" s="11" t="s">
        <v>31</v>
      </c>
      <c r="C181" s="73"/>
      <c r="D181" s="7" t="s">
        <v>27</v>
      </c>
      <c r="E181" s="73"/>
      <c r="F181" s="135">
        <v>-2.9999999999999997E-4</v>
      </c>
      <c r="G181" s="74">
        <f>$F166</f>
        <v>5000</v>
      </c>
      <c r="H181" s="136">
        <f t="shared" si="18"/>
        <v>-1.4999999999999998</v>
      </c>
      <c r="I181" s="76"/>
      <c r="J181" s="132"/>
      <c r="K181" s="74">
        <f>$F166</f>
        <v>5000</v>
      </c>
      <c r="L181" s="136">
        <f t="shared" si="19"/>
        <v>0</v>
      </c>
      <c r="M181" s="76"/>
      <c r="N181" s="137">
        <f t="shared" si="20"/>
        <v>1.4999999999999998</v>
      </c>
      <c r="O181" s="79">
        <f t="shared" si="21"/>
        <v>-1</v>
      </c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</row>
    <row r="182" spans="1:63" x14ac:dyDescent="0.3">
      <c r="B182" s="11" t="s">
        <v>32</v>
      </c>
      <c r="C182" s="73"/>
      <c r="D182" s="7" t="s">
        <v>24</v>
      </c>
      <c r="E182" s="73"/>
      <c r="F182" s="135"/>
      <c r="G182" s="74">
        <v>1</v>
      </c>
      <c r="H182" s="136">
        <f t="shared" si="18"/>
        <v>0</v>
      </c>
      <c r="I182" s="76"/>
      <c r="J182" s="171">
        <v>2.27</v>
      </c>
      <c r="K182" s="74">
        <v>1</v>
      </c>
      <c r="L182" s="136">
        <f t="shared" si="19"/>
        <v>2.27</v>
      </c>
      <c r="M182" s="76"/>
      <c r="N182" s="137">
        <f t="shared" si="20"/>
        <v>2.27</v>
      </c>
      <c r="O182" s="79" t="str">
        <f t="shared" si="21"/>
        <v/>
      </c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  <c r="AA182" s="126"/>
      <c r="AB182" s="126"/>
      <c r="AC182" s="126"/>
    </row>
    <row r="183" spans="1:63" x14ac:dyDescent="0.3">
      <c r="B183" s="12" t="str">
        <f>+Residential!$B$35</f>
        <v>Rate Rider for Disposition of Account 1576</v>
      </c>
      <c r="C183" s="73"/>
      <c r="D183" s="7" t="s">
        <v>27</v>
      </c>
      <c r="E183" s="73"/>
      <c r="F183" s="134"/>
      <c r="G183" s="74">
        <f>$F166</f>
        <v>5000</v>
      </c>
      <c r="H183" s="136">
        <f t="shared" si="18"/>
        <v>0</v>
      </c>
      <c r="I183" s="76"/>
      <c r="J183" s="171">
        <v>-5.9999999999999995E-4</v>
      </c>
      <c r="K183" s="74">
        <f>$F166</f>
        <v>5000</v>
      </c>
      <c r="L183" s="136">
        <f t="shared" si="19"/>
        <v>-2.9999999999999996</v>
      </c>
      <c r="M183" s="76"/>
      <c r="N183" s="137">
        <f t="shared" si="20"/>
        <v>-2.9999999999999996</v>
      </c>
      <c r="O183" s="79" t="str">
        <f t="shared" si="21"/>
        <v/>
      </c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  <c r="AB183" s="126"/>
      <c r="AC183" s="126"/>
    </row>
    <row r="184" spans="1:63" x14ac:dyDescent="0.3">
      <c r="B184" s="12" t="str">
        <f>+Residential!$B$36</f>
        <v xml:space="preserve">Rate Rider for Disposition of CGAAP CWIP differential </v>
      </c>
      <c r="C184" s="73"/>
      <c r="D184" s="7" t="s">
        <v>27</v>
      </c>
      <c r="E184" s="73"/>
      <c r="F184" s="134"/>
      <c r="G184" s="74">
        <f>$F166</f>
        <v>5000</v>
      </c>
      <c r="H184" s="136">
        <f t="shared" si="18"/>
        <v>0</v>
      </c>
      <c r="I184" s="76"/>
      <c r="J184" s="171">
        <v>2.9999999999999997E-4</v>
      </c>
      <c r="K184" s="74">
        <f>$F166</f>
        <v>5000</v>
      </c>
      <c r="L184" s="136">
        <f t="shared" si="19"/>
        <v>1.4999999999999998</v>
      </c>
      <c r="M184" s="76"/>
      <c r="N184" s="137">
        <f t="shared" si="20"/>
        <v>1.4999999999999998</v>
      </c>
      <c r="O184" s="79" t="str">
        <f t="shared" si="21"/>
        <v/>
      </c>
      <c r="Q184" s="126"/>
      <c r="R184" s="126"/>
      <c r="S184" s="126"/>
      <c r="T184" s="126"/>
      <c r="U184" s="126"/>
      <c r="V184" s="126"/>
      <c r="W184" s="126"/>
      <c r="X184" s="126"/>
      <c r="Y184" s="126"/>
      <c r="Z184" s="126"/>
      <c r="AA184" s="126"/>
      <c r="AB184" s="126"/>
      <c r="AC184" s="126"/>
    </row>
    <row r="185" spans="1:63" x14ac:dyDescent="0.3">
      <c r="B185" s="12" t="str">
        <f>+Residential!$B$37</f>
        <v xml:space="preserve">Rate Rider for Disposition of Incremental Capital Expenditures </v>
      </c>
      <c r="C185" s="73"/>
      <c r="D185" s="7" t="s">
        <v>27</v>
      </c>
      <c r="E185" s="73"/>
      <c r="F185" s="131"/>
      <c r="G185" s="74">
        <f>$F166</f>
        <v>5000</v>
      </c>
      <c r="H185" s="136">
        <f t="shared" si="18"/>
        <v>0</v>
      </c>
      <c r="I185" s="76"/>
      <c r="J185" s="171">
        <v>2.0000000000000001E-4</v>
      </c>
      <c r="K185" s="74">
        <f>$F166</f>
        <v>5000</v>
      </c>
      <c r="L185" s="136">
        <f t="shared" si="19"/>
        <v>1</v>
      </c>
      <c r="M185" s="76"/>
      <c r="N185" s="137">
        <f t="shared" si="20"/>
        <v>1</v>
      </c>
      <c r="O185" s="79" t="str">
        <f t="shared" si="21"/>
        <v/>
      </c>
      <c r="Q185" s="126"/>
      <c r="R185" s="126"/>
      <c r="S185" s="126"/>
      <c r="T185" s="126"/>
      <c r="U185" s="126"/>
      <c r="V185" s="126"/>
      <c r="W185" s="126"/>
      <c r="X185" s="126"/>
      <c r="Y185" s="126"/>
      <c r="Z185" s="126"/>
      <c r="AA185" s="126"/>
      <c r="AB185" s="126"/>
      <c r="AC185" s="126"/>
    </row>
    <row r="186" spans="1:63" x14ac:dyDescent="0.3">
      <c r="B186" s="12"/>
      <c r="C186" s="73"/>
      <c r="D186" s="7"/>
      <c r="E186" s="73"/>
      <c r="F186" s="131"/>
      <c r="G186" s="74">
        <f>$F166</f>
        <v>5000</v>
      </c>
      <c r="H186" s="136">
        <f t="shared" si="18"/>
        <v>0</v>
      </c>
      <c r="I186" s="76"/>
      <c r="J186" s="131"/>
      <c r="K186" s="74">
        <f>$F166</f>
        <v>5000</v>
      </c>
      <c r="L186" s="136">
        <f t="shared" si="19"/>
        <v>0</v>
      </c>
      <c r="M186" s="76"/>
      <c r="N186" s="137">
        <f t="shared" si="20"/>
        <v>0</v>
      </c>
      <c r="O186" s="79" t="str">
        <f t="shared" si="21"/>
        <v/>
      </c>
      <c r="Q186" s="126"/>
      <c r="R186" s="126"/>
      <c r="S186" s="126"/>
      <c r="T186" s="126"/>
      <c r="U186" s="126"/>
      <c r="V186" s="126"/>
      <c r="W186" s="126"/>
      <c r="X186" s="126"/>
      <c r="Y186" s="126"/>
      <c r="Z186" s="126"/>
      <c r="AA186" s="126"/>
      <c r="AB186" s="126"/>
      <c r="AC186" s="126"/>
    </row>
    <row r="187" spans="1:63" s="4" customFormat="1" x14ac:dyDescent="0.3">
      <c r="A187" s="60"/>
      <c r="B187" s="19" t="s">
        <v>33</v>
      </c>
      <c r="C187" s="20"/>
      <c r="D187" s="20"/>
      <c r="E187" s="20"/>
      <c r="F187" s="21"/>
      <c r="G187" s="22"/>
      <c r="H187" s="23">
        <f>SUM(H171:H186)</f>
        <v>121.19999999999999</v>
      </c>
      <c r="I187" s="13"/>
      <c r="J187" s="14"/>
      <c r="K187" s="24"/>
      <c r="L187" s="23">
        <f>SUM(L171:L186)</f>
        <v>112.98</v>
      </c>
      <c r="M187" s="13"/>
      <c r="N187" s="15">
        <f t="shared" si="20"/>
        <v>-8.2199999999999847</v>
      </c>
      <c r="O187" s="16">
        <f t="shared" si="21"/>
        <v>-6.7821782178217702E-2</v>
      </c>
      <c r="P187" s="60"/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  <c r="AB187" s="126"/>
      <c r="AC187" s="126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0"/>
      <c r="AY187" s="60"/>
      <c r="AZ187" s="60"/>
      <c r="BA187" s="60"/>
      <c r="BB187" s="60"/>
      <c r="BC187" s="60"/>
      <c r="BD187" s="60"/>
      <c r="BE187" s="60"/>
      <c r="BF187" s="60"/>
      <c r="BG187" s="60"/>
      <c r="BH187" s="60"/>
      <c r="BI187" s="60"/>
      <c r="BJ187" s="60"/>
      <c r="BK187" s="60"/>
    </row>
    <row r="188" spans="1:63" x14ac:dyDescent="0.3">
      <c r="B188" s="17" t="s">
        <v>34</v>
      </c>
      <c r="C188" s="73"/>
      <c r="D188" s="7" t="s">
        <v>27</v>
      </c>
      <c r="E188" s="73"/>
      <c r="F188" s="135">
        <v>2.9999999999999997E-4</v>
      </c>
      <c r="G188" s="74">
        <f>$F166</f>
        <v>5000</v>
      </c>
      <c r="H188" s="136">
        <f t="shared" ref="H188:H194" si="22">G188*F188</f>
        <v>1.4999999999999998</v>
      </c>
      <c r="I188" s="76"/>
      <c r="J188" s="171">
        <v>-6.9999999999999999E-4</v>
      </c>
      <c r="K188" s="74">
        <f>$F166</f>
        <v>5000</v>
      </c>
      <c r="L188" s="136">
        <f t="shared" ref="L188:L194" si="23">K188*J188</f>
        <v>-3.5</v>
      </c>
      <c r="M188" s="76"/>
      <c r="N188" s="137">
        <f t="shared" si="20"/>
        <v>-5</v>
      </c>
      <c r="O188" s="79">
        <f t="shared" si="21"/>
        <v>-3.3333333333333339</v>
      </c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  <c r="AB188" s="126"/>
      <c r="AC188" s="126"/>
    </row>
    <row r="189" spans="1:63" x14ac:dyDescent="0.3">
      <c r="B189" s="17"/>
      <c r="C189" s="73"/>
      <c r="D189" s="7"/>
      <c r="E189" s="73"/>
      <c r="F189" s="8"/>
      <c r="G189" s="74">
        <f>$F166</f>
        <v>5000</v>
      </c>
      <c r="H189" s="136">
        <f t="shared" si="22"/>
        <v>0</v>
      </c>
      <c r="I189" s="82"/>
      <c r="J189" s="8"/>
      <c r="K189" s="74">
        <f>$F166</f>
        <v>5000</v>
      </c>
      <c r="L189" s="136">
        <f t="shared" si="23"/>
        <v>0</v>
      </c>
      <c r="M189" s="83"/>
      <c r="N189" s="137">
        <f t="shared" si="20"/>
        <v>0</v>
      </c>
      <c r="O189" s="79" t="str">
        <f t="shared" si="21"/>
        <v/>
      </c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6"/>
      <c r="AC189" s="126"/>
    </row>
    <row r="190" spans="1:63" x14ac:dyDescent="0.3">
      <c r="B190" s="17"/>
      <c r="C190" s="73"/>
      <c r="D190" s="7"/>
      <c r="E190" s="73"/>
      <c r="F190" s="8"/>
      <c r="G190" s="74">
        <f>$F166</f>
        <v>5000</v>
      </c>
      <c r="H190" s="136">
        <f t="shared" si="22"/>
        <v>0</v>
      </c>
      <c r="I190" s="82"/>
      <c r="J190" s="8"/>
      <c r="K190" s="74">
        <f>$F166</f>
        <v>5000</v>
      </c>
      <c r="L190" s="136">
        <f t="shared" si="23"/>
        <v>0</v>
      </c>
      <c r="M190" s="83"/>
      <c r="N190" s="137">
        <f t="shared" si="20"/>
        <v>0</v>
      </c>
      <c r="O190" s="79" t="str">
        <f t="shared" si="21"/>
        <v/>
      </c>
      <c r="Q190" s="126"/>
      <c r="R190" s="126"/>
      <c r="S190" s="126"/>
      <c r="T190" s="126"/>
      <c r="U190" s="126"/>
      <c r="V190" s="126"/>
      <c r="W190" s="126"/>
      <c r="X190" s="126"/>
      <c r="Y190" s="126"/>
      <c r="Z190" s="126"/>
      <c r="AA190" s="126"/>
      <c r="AB190" s="126"/>
      <c r="AC190" s="126"/>
    </row>
    <row r="191" spans="1:63" x14ac:dyDescent="0.3">
      <c r="B191" s="17"/>
      <c r="C191" s="73"/>
      <c r="D191" s="7"/>
      <c r="E191" s="73"/>
      <c r="F191" s="8"/>
      <c r="G191" s="74">
        <f>$F166</f>
        <v>5000</v>
      </c>
      <c r="H191" s="136">
        <f t="shared" si="22"/>
        <v>0</v>
      </c>
      <c r="I191" s="82"/>
      <c r="J191" s="8"/>
      <c r="K191" s="74">
        <f>$F166</f>
        <v>5000</v>
      </c>
      <c r="L191" s="136">
        <f t="shared" si="23"/>
        <v>0</v>
      </c>
      <c r="M191" s="83"/>
      <c r="N191" s="137">
        <f t="shared" si="20"/>
        <v>0</v>
      </c>
      <c r="O191" s="79" t="str">
        <f t="shared" si="21"/>
        <v/>
      </c>
      <c r="Q191" s="126"/>
      <c r="R191" s="126"/>
      <c r="S191" s="126"/>
      <c r="T191" s="126"/>
      <c r="U191" s="126"/>
      <c r="V191" s="126"/>
      <c r="W191" s="126"/>
      <c r="X191" s="126"/>
      <c r="Y191" s="126"/>
      <c r="Z191" s="126"/>
      <c r="AA191" s="126"/>
      <c r="AB191" s="126"/>
      <c r="AC191" s="126"/>
    </row>
    <row r="192" spans="1:63" x14ac:dyDescent="0.3">
      <c r="B192" s="80" t="s">
        <v>35</v>
      </c>
      <c r="C192" s="73"/>
      <c r="D192" s="7" t="s">
        <v>27</v>
      </c>
      <c r="E192" s="73"/>
      <c r="F192" s="135">
        <v>2.0000000000000001E-4</v>
      </c>
      <c r="G192" s="74">
        <f>$F166</f>
        <v>5000</v>
      </c>
      <c r="H192" s="136">
        <f t="shared" si="22"/>
        <v>1</v>
      </c>
      <c r="I192" s="76"/>
      <c r="J192" s="171">
        <v>2.9999999999999997E-4</v>
      </c>
      <c r="K192" s="74">
        <f>$F166</f>
        <v>5000</v>
      </c>
      <c r="L192" s="136">
        <f t="shared" si="23"/>
        <v>1.4999999999999998</v>
      </c>
      <c r="M192" s="76"/>
      <c r="N192" s="137">
        <f t="shared" si="20"/>
        <v>0.49999999999999978</v>
      </c>
      <c r="O192" s="79">
        <f t="shared" si="21"/>
        <v>0.49999999999999978</v>
      </c>
      <c r="Q192" s="126"/>
      <c r="R192" s="126"/>
      <c r="S192" s="126"/>
      <c r="T192" s="126"/>
      <c r="U192" s="126"/>
      <c r="V192" s="126"/>
      <c r="W192" s="126"/>
      <c r="X192" s="126"/>
      <c r="Y192" s="126"/>
      <c r="Z192" s="126"/>
      <c r="AA192" s="126"/>
      <c r="AB192" s="126"/>
      <c r="AC192" s="126"/>
    </row>
    <row r="193" spans="1:63" x14ac:dyDescent="0.3">
      <c r="B193" s="80" t="s">
        <v>36</v>
      </c>
      <c r="C193" s="73"/>
      <c r="D193" s="7" t="s">
        <v>27</v>
      </c>
      <c r="E193" s="73"/>
      <c r="F193" s="138">
        <f>IF(ISBLANK(D164)=TRUE, 0, IF(D164="TOU", 0.64*$F203+0.18*$F204+0.18*$F205, IF(AND(D164="non-TOU", G207&gt;0), F207,F206)))</f>
        <v>8.3919999999999995E-2</v>
      </c>
      <c r="G193" s="18">
        <f>$F166*(1+$F222)-$F166</f>
        <v>188.5</v>
      </c>
      <c r="H193" s="136">
        <f t="shared" si="22"/>
        <v>15.818919999999999</v>
      </c>
      <c r="I193" s="76"/>
      <c r="J193" s="138">
        <f>0.64*$F203+0.18*$F204+0.18*$F205</f>
        <v>8.3919999999999995E-2</v>
      </c>
      <c r="K193" s="18">
        <f>$F166*(1+$J222)-$F166</f>
        <v>188</v>
      </c>
      <c r="L193" s="136">
        <f t="shared" si="23"/>
        <v>15.776959999999999</v>
      </c>
      <c r="M193" s="76"/>
      <c r="N193" s="137">
        <f t="shared" si="20"/>
        <v>-4.1959999999999553E-2</v>
      </c>
      <c r="O193" s="79">
        <f t="shared" si="21"/>
        <v>-2.6525198938991764E-3</v>
      </c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6"/>
      <c r="AC193" s="126"/>
    </row>
    <row r="194" spans="1:63" x14ac:dyDescent="0.3">
      <c r="B194" s="80" t="s">
        <v>37</v>
      </c>
      <c r="C194" s="73"/>
      <c r="D194" s="7" t="s">
        <v>24</v>
      </c>
      <c r="E194" s="73"/>
      <c r="F194" s="138">
        <v>0.79</v>
      </c>
      <c r="G194" s="74">
        <v>1</v>
      </c>
      <c r="H194" s="136">
        <f t="shared" si="22"/>
        <v>0.79</v>
      </c>
      <c r="I194" s="76"/>
      <c r="J194" s="138">
        <v>0.79</v>
      </c>
      <c r="K194" s="81">
        <v>1</v>
      </c>
      <c r="L194" s="136">
        <f t="shared" si="23"/>
        <v>0.79</v>
      </c>
      <c r="M194" s="76"/>
      <c r="N194" s="137">
        <f t="shared" si="20"/>
        <v>0</v>
      </c>
      <c r="O194" s="79"/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</row>
    <row r="195" spans="1:63" s="4" customFormat="1" ht="26.4" x14ac:dyDescent="0.3">
      <c r="A195" s="60"/>
      <c r="B195" s="19" t="s">
        <v>38</v>
      </c>
      <c r="C195" s="20"/>
      <c r="D195" s="20"/>
      <c r="E195" s="20"/>
      <c r="F195" s="21"/>
      <c r="G195" s="22"/>
      <c r="H195" s="23">
        <f>SUM(H188:H194)+H187</f>
        <v>140.30892</v>
      </c>
      <c r="I195" s="13"/>
      <c r="J195" s="22"/>
      <c r="K195" s="24"/>
      <c r="L195" s="23">
        <f>SUM(L188:L194)+L187</f>
        <v>127.54696</v>
      </c>
      <c r="M195" s="13"/>
      <c r="N195" s="15">
        <f t="shared" si="20"/>
        <v>-12.761960000000002</v>
      </c>
      <c r="O195" s="16">
        <f t="shared" ref="O195:O207" si="24">IF((H195)=0,"",(N195/H195))</f>
        <v>-9.0956155888021958E-2</v>
      </c>
      <c r="P195" s="60"/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  <c r="AB195" s="126"/>
      <c r="AC195" s="126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0"/>
      <c r="AY195" s="60"/>
      <c r="AZ195" s="60"/>
      <c r="BA195" s="60"/>
      <c r="BB195" s="60"/>
      <c r="BC195" s="60"/>
      <c r="BD195" s="60"/>
      <c r="BE195" s="60"/>
      <c r="BF195" s="60"/>
      <c r="BG195" s="60"/>
      <c r="BH195" s="60"/>
      <c r="BI195" s="60"/>
      <c r="BJ195" s="60"/>
      <c r="BK195" s="60"/>
    </row>
    <row r="196" spans="1:63" x14ac:dyDescent="0.3">
      <c r="B196" s="76" t="s">
        <v>39</v>
      </c>
      <c r="C196" s="76"/>
      <c r="D196" s="25" t="s">
        <v>27</v>
      </c>
      <c r="E196" s="76"/>
      <c r="F196" s="135">
        <v>7.4000000000000003E-3</v>
      </c>
      <c r="G196" s="18">
        <f>F166*(1+F222)</f>
        <v>5188.5</v>
      </c>
      <c r="H196" s="136">
        <f>G196*F196</f>
        <v>38.3949</v>
      </c>
      <c r="I196" s="76"/>
      <c r="J196" s="135">
        <f>+$J$48</f>
        <v>7.3000000000000001E-3</v>
      </c>
      <c r="K196" s="18">
        <f>F166*(1+J222)</f>
        <v>5188</v>
      </c>
      <c r="L196" s="136">
        <f>K196*J196</f>
        <v>37.872399999999999</v>
      </c>
      <c r="M196" s="76"/>
      <c r="N196" s="136">
        <f t="shared" si="20"/>
        <v>-0.52250000000000085</v>
      </c>
      <c r="O196" s="79">
        <f t="shared" si="24"/>
        <v>-1.3608578222628549E-2</v>
      </c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</row>
    <row r="197" spans="1:63" x14ac:dyDescent="0.3">
      <c r="B197" s="85" t="s">
        <v>40</v>
      </c>
      <c r="C197" s="76"/>
      <c r="D197" s="25" t="s">
        <v>27</v>
      </c>
      <c r="E197" s="76"/>
      <c r="F197" s="135">
        <v>5.0000000000000001E-3</v>
      </c>
      <c r="G197" s="18">
        <f>G196</f>
        <v>5188.5</v>
      </c>
      <c r="H197" s="136">
        <f>G197*F197</f>
        <v>25.942499999999999</v>
      </c>
      <c r="I197" s="76"/>
      <c r="J197" s="135">
        <f>+$J$49</f>
        <v>4.7999999999999996E-3</v>
      </c>
      <c r="K197" s="18">
        <f>K196</f>
        <v>5188</v>
      </c>
      <c r="L197" s="136">
        <f>K197*J197</f>
        <v>24.902399999999997</v>
      </c>
      <c r="M197" s="76"/>
      <c r="N197" s="136">
        <f t="shared" si="20"/>
        <v>-1.0401000000000025</v>
      </c>
      <c r="O197" s="79">
        <f t="shared" si="24"/>
        <v>-4.0092512286788187E-2</v>
      </c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</row>
    <row r="198" spans="1:63" s="4" customFormat="1" x14ac:dyDescent="0.3">
      <c r="A198" s="60"/>
      <c r="B198" s="19" t="s">
        <v>41</v>
      </c>
      <c r="C198" s="20"/>
      <c r="D198" s="20"/>
      <c r="E198" s="20"/>
      <c r="F198" s="21"/>
      <c r="G198" s="22"/>
      <c r="H198" s="23">
        <f>SUM(H195:H197)</f>
        <v>204.64632</v>
      </c>
      <c r="I198" s="13"/>
      <c r="J198" s="26"/>
      <c r="K198" s="22"/>
      <c r="L198" s="23">
        <f>SUM(L195:L197)</f>
        <v>190.32175999999998</v>
      </c>
      <c r="M198" s="13"/>
      <c r="N198" s="15">
        <f t="shared" si="20"/>
        <v>-14.324560000000019</v>
      </c>
      <c r="O198" s="16">
        <f t="shared" si="24"/>
        <v>-6.9996665466547453E-2</v>
      </c>
      <c r="P198" s="60"/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  <c r="AB198" s="126"/>
      <c r="AC198" s="126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  <c r="AU198" s="60"/>
      <c r="AV198" s="60"/>
      <c r="AW198" s="60"/>
      <c r="AX198" s="60"/>
      <c r="AY198" s="60"/>
      <c r="AZ198" s="60"/>
      <c r="BA198" s="60"/>
      <c r="BB198" s="60"/>
      <c r="BC198" s="60"/>
      <c r="BD198" s="60"/>
      <c r="BE198" s="60"/>
      <c r="BF198" s="60"/>
      <c r="BG198" s="60"/>
      <c r="BH198" s="60"/>
      <c r="BI198" s="60"/>
      <c r="BJ198" s="60"/>
      <c r="BK198" s="60"/>
    </row>
    <row r="199" spans="1:63" x14ac:dyDescent="0.3">
      <c r="B199" s="86" t="s">
        <v>42</v>
      </c>
      <c r="C199" s="73"/>
      <c r="D199" s="7" t="s">
        <v>27</v>
      </c>
      <c r="E199" s="73"/>
      <c r="F199" s="135">
        <v>4.4000000000000003E-3</v>
      </c>
      <c r="G199" s="18">
        <f>G197</f>
        <v>5188.5</v>
      </c>
      <c r="H199" s="139">
        <f t="shared" ref="H199:H207" si="25">G199*F199</f>
        <v>22.8294</v>
      </c>
      <c r="I199" s="76"/>
      <c r="J199" s="135">
        <f>+F199</f>
        <v>4.4000000000000003E-3</v>
      </c>
      <c r="K199" s="18">
        <f>K197</f>
        <v>5188</v>
      </c>
      <c r="L199" s="139">
        <f t="shared" ref="L199:L207" si="26">K199*J199</f>
        <v>22.827200000000001</v>
      </c>
      <c r="M199" s="76"/>
      <c r="N199" s="137">
        <f t="shared" si="20"/>
        <v>-2.1999999999984254E-3</v>
      </c>
      <c r="O199" s="87">
        <f t="shared" si="24"/>
        <v>-9.6366965404190446E-5</v>
      </c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</row>
    <row r="200" spans="1:63" x14ac:dyDescent="0.3">
      <c r="B200" s="86" t="s">
        <v>43</v>
      </c>
      <c r="C200" s="73"/>
      <c r="D200" s="7" t="s">
        <v>27</v>
      </c>
      <c r="E200" s="73"/>
      <c r="F200" s="135">
        <v>1.1999999999999999E-3</v>
      </c>
      <c r="G200" s="18">
        <f>G197</f>
        <v>5188.5</v>
      </c>
      <c r="H200" s="139">
        <f t="shared" si="25"/>
        <v>6.2261999999999995</v>
      </c>
      <c r="I200" s="76"/>
      <c r="J200" s="135">
        <v>1.2999999999999999E-3</v>
      </c>
      <c r="K200" s="18">
        <f>K197</f>
        <v>5188</v>
      </c>
      <c r="L200" s="139">
        <f t="shared" si="26"/>
        <v>6.7443999999999997</v>
      </c>
      <c r="M200" s="76"/>
      <c r="N200" s="137">
        <f t="shared" si="20"/>
        <v>0.51820000000000022</v>
      </c>
      <c r="O200" s="87">
        <f t="shared" si="24"/>
        <v>8.3228935787478767E-2</v>
      </c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</row>
    <row r="201" spans="1:63" x14ac:dyDescent="0.3">
      <c r="B201" s="73" t="s">
        <v>44</v>
      </c>
      <c r="C201" s="73"/>
      <c r="D201" s="7" t="s">
        <v>24</v>
      </c>
      <c r="E201" s="73"/>
      <c r="F201" s="135">
        <v>0.25</v>
      </c>
      <c r="G201" s="81">
        <v>1</v>
      </c>
      <c r="H201" s="139">
        <f t="shared" si="25"/>
        <v>0.25</v>
      </c>
      <c r="I201" s="76"/>
      <c r="J201" s="135">
        <f>+F201</f>
        <v>0.25</v>
      </c>
      <c r="K201" s="77">
        <v>1</v>
      </c>
      <c r="L201" s="139">
        <f t="shared" si="26"/>
        <v>0.25</v>
      </c>
      <c r="M201" s="76"/>
      <c r="N201" s="137">
        <f t="shared" si="20"/>
        <v>0</v>
      </c>
      <c r="O201" s="87">
        <f t="shared" si="24"/>
        <v>0</v>
      </c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26"/>
    </row>
    <row r="202" spans="1:63" x14ac:dyDescent="0.3">
      <c r="B202" s="73" t="s">
        <v>45</v>
      </c>
      <c r="C202" s="73"/>
      <c r="D202" s="7" t="s">
        <v>27</v>
      </c>
      <c r="E202" s="73"/>
      <c r="F202" s="135">
        <v>7.0000000000000001E-3</v>
      </c>
      <c r="G202" s="84">
        <f>F166</f>
        <v>5000</v>
      </c>
      <c r="H202" s="139">
        <f t="shared" si="25"/>
        <v>35</v>
      </c>
      <c r="I202" s="76"/>
      <c r="J202" s="135">
        <f>+F202</f>
        <v>7.0000000000000001E-3</v>
      </c>
      <c r="K202" s="77">
        <f>F166</f>
        <v>5000</v>
      </c>
      <c r="L202" s="139">
        <f t="shared" si="26"/>
        <v>35</v>
      </c>
      <c r="M202" s="76"/>
      <c r="N202" s="137">
        <f t="shared" si="20"/>
        <v>0</v>
      </c>
      <c r="O202" s="87">
        <f t="shared" si="24"/>
        <v>0</v>
      </c>
      <c r="Q202" s="126"/>
      <c r="R202" s="126"/>
      <c r="S202" s="126"/>
      <c r="T202" s="126"/>
      <c r="U202" s="126"/>
      <c r="V202" s="126"/>
      <c r="W202" s="126"/>
      <c r="X202" s="126"/>
      <c r="Y202" s="126"/>
      <c r="Z202" s="126"/>
      <c r="AA202" s="126"/>
      <c r="AB202" s="126"/>
      <c r="AC202" s="126"/>
    </row>
    <row r="203" spans="1:63" x14ac:dyDescent="0.3">
      <c r="B203" s="80" t="s">
        <v>46</v>
      </c>
      <c r="C203" s="73"/>
      <c r="D203" s="7" t="s">
        <v>27</v>
      </c>
      <c r="E203" s="73"/>
      <c r="F203" s="138">
        <v>6.7000000000000004E-2</v>
      </c>
      <c r="G203" s="27">
        <f>0.64*$F166</f>
        <v>3200</v>
      </c>
      <c r="H203" s="139">
        <f t="shared" si="25"/>
        <v>214.4</v>
      </c>
      <c r="I203" s="76"/>
      <c r="J203" s="138">
        <v>6.7000000000000004E-2</v>
      </c>
      <c r="K203" s="28">
        <f>G203</f>
        <v>3200</v>
      </c>
      <c r="L203" s="139">
        <f t="shared" si="26"/>
        <v>214.4</v>
      </c>
      <c r="M203" s="76"/>
      <c r="N203" s="137">
        <f t="shared" si="20"/>
        <v>0</v>
      </c>
      <c r="O203" s="87">
        <f t="shared" si="24"/>
        <v>0</v>
      </c>
      <c r="Q203" s="126"/>
      <c r="R203" s="126"/>
      <c r="S203" s="127"/>
      <c r="T203" s="126"/>
      <c r="U203" s="126"/>
      <c r="V203" s="126"/>
      <c r="W203" s="126"/>
      <c r="X203" s="126"/>
      <c r="Y203" s="126"/>
      <c r="Z203" s="126"/>
      <c r="AA203" s="126"/>
      <c r="AB203" s="126"/>
      <c r="AC203" s="126"/>
    </row>
    <row r="204" spans="1:63" x14ac:dyDescent="0.3">
      <c r="B204" s="80" t="s">
        <v>47</v>
      </c>
      <c r="C204" s="73"/>
      <c r="D204" s="7" t="s">
        <v>27</v>
      </c>
      <c r="E204" s="73"/>
      <c r="F204" s="138">
        <v>0.104</v>
      </c>
      <c r="G204" s="27">
        <f>0.18*$F166</f>
        <v>900</v>
      </c>
      <c r="H204" s="139">
        <f t="shared" si="25"/>
        <v>93.6</v>
      </c>
      <c r="I204" s="76"/>
      <c r="J204" s="138">
        <v>0.104</v>
      </c>
      <c r="K204" s="28">
        <f>G204</f>
        <v>900</v>
      </c>
      <c r="L204" s="139">
        <f t="shared" si="26"/>
        <v>93.6</v>
      </c>
      <c r="M204" s="76"/>
      <c r="N204" s="137">
        <f t="shared" si="20"/>
        <v>0</v>
      </c>
      <c r="O204" s="87">
        <f t="shared" si="24"/>
        <v>0</v>
      </c>
      <c r="Q204" s="126"/>
      <c r="R204" s="126"/>
      <c r="S204" s="127"/>
      <c r="T204" s="126"/>
      <c r="U204" s="126"/>
      <c r="V204" s="126"/>
      <c r="W204" s="126"/>
      <c r="X204" s="126"/>
      <c r="Y204" s="126"/>
      <c r="Z204" s="126"/>
      <c r="AA204" s="126"/>
      <c r="AB204" s="126"/>
      <c r="AC204" s="126"/>
    </row>
    <row r="205" spans="1:63" x14ac:dyDescent="0.3">
      <c r="B205" s="64" t="s">
        <v>48</v>
      </c>
      <c r="C205" s="73"/>
      <c r="D205" s="7" t="s">
        <v>27</v>
      </c>
      <c r="E205" s="73"/>
      <c r="F205" s="138">
        <v>0.124</v>
      </c>
      <c r="G205" s="27">
        <f>0.18*$F166</f>
        <v>900</v>
      </c>
      <c r="H205" s="139">
        <f t="shared" si="25"/>
        <v>111.6</v>
      </c>
      <c r="I205" s="76"/>
      <c r="J205" s="138">
        <v>0.124</v>
      </c>
      <c r="K205" s="28">
        <f>G205</f>
        <v>900</v>
      </c>
      <c r="L205" s="139">
        <f t="shared" si="26"/>
        <v>111.6</v>
      </c>
      <c r="M205" s="76"/>
      <c r="N205" s="137">
        <f t="shared" si="20"/>
        <v>0</v>
      </c>
      <c r="O205" s="87">
        <f t="shared" si="24"/>
        <v>0</v>
      </c>
      <c r="Q205" s="126"/>
      <c r="R205" s="126"/>
      <c r="S205" s="127"/>
      <c r="T205" s="126"/>
      <c r="U205" s="126"/>
      <c r="V205" s="126"/>
      <c r="W205" s="126"/>
      <c r="X205" s="126"/>
      <c r="Y205" s="126"/>
      <c r="Z205" s="126"/>
      <c r="AA205" s="126"/>
      <c r="AB205" s="126"/>
      <c r="AC205" s="126"/>
    </row>
    <row r="206" spans="1:63" s="92" customFormat="1" x14ac:dyDescent="0.25">
      <c r="B206" s="89" t="s">
        <v>49</v>
      </c>
      <c r="C206" s="90"/>
      <c r="D206" s="29" t="s">
        <v>27</v>
      </c>
      <c r="E206" s="90"/>
      <c r="F206" s="138">
        <v>7.4999999999999997E-2</v>
      </c>
      <c r="G206" s="30">
        <f>IF(AND($T$1=1, F166&gt;=750), 750, IF(AND($T$1=1, AND(F166&lt;750, F166&gt;=0)), F166, IF(AND($T$1=2, F166&gt;=750), 750, IF(AND($T$1=2, AND(F166&lt;750, F166&gt;=0)), F166))))</f>
        <v>750</v>
      </c>
      <c r="H206" s="139">
        <f t="shared" si="25"/>
        <v>56.25</v>
      </c>
      <c r="I206" s="91"/>
      <c r="J206" s="138">
        <v>7.4999999999999997E-2</v>
      </c>
      <c r="K206" s="31">
        <f>G206</f>
        <v>750</v>
      </c>
      <c r="L206" s="139">
        <f t="shared" si="26"/>
        <v>56.25</v>
      </c>
      <c r="M206" s="91"/>
      <c r="N206" s="140">
        <f t="shared" si="20"/>
        <v>0</v>
      </c>
      <c r="O206" s="87">
        <f t="shared" si="24"/>
        <v>0</v>
      </c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28"/>
      <c r="AB206" s="128"/>
      <c r="AC206" s="128"/>
    </row>
    <row r="207" spans="1:63" s="92" customFormat="1" ht="15" thickBot="1" x14ac:dyDescent="0.3">
      <c r="B207" s="89" t="s">
        <v>50</v>
      </c>
      <c r="C207" s="90"/>
      <c r="D207" s="29" t="s">
        <v>27</v>
      </c>
      <c r="E207" s="90"/>
      <c r="F207" s="138">
        <v>8.7999999999999995E-2</v>
      </c>
      <c r="G207" s="30">
        <f>IF(AND($T$1=1, F166&gt;=750), F166-750, IF(AND($T$1=1, AND(F166&lt;750, F166&gt;=0)), 0, IF(AND($T$1=2, F166&gt;=750), F166-750, IF(AND($T$1=2, AND(F166&lt;750, F166&gt;=0)), 0))))</f>
        <v>4250</v>
      </c>
      <c r="H207" s="139">
        <f t="shared" si="25"/>
        <v>374</v>
      </c>
      <c r="I207" s="91"/>
      <c r="J207" s="138">
        <v>8.7999999999999995E-2</v>
      </c>
      <c r="K207" s="31">
        <f>G207</f>
        <v>4250</v>
      </c>
      <c r="L207" s="139">
        <f t="shared" si="26"/>
        <v>374</v>
      </c>
      <c r="M207" s="91"/>
      <c r="N207" s="140">
        <f t="shared" si="20"/>
        <v>0</v>
      </c>
      <c r="O207" s="87">
        <f t="shared" si="24"/>
        <v>0</v>
      </c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  <c r="AC207" s="128"/>
    </row>
    <row r="208" spans="1:63" s="4" customFormat="1" ht="15" thickBot="1" x14ac:dyDescent="0.35">
      <c r="A208" s="60"/>
      <c r="B208" s="32"/>
      <c r="C208" s="33"/>
      <c r="D208" s="124"/>
      <c r="E208" s="33"/>
      <c r="F208" s="35"/>
      <c r="G208" s="36"/>
      <c r="H208" s="122"/>
      <c r="I208" s="123"/>
      <c r="J208" s="35"/>
      <c r="K208" s="39"/>
      <c r="L208" s="122"/>
      <c r="M208" s="123"/>
      <c r="N208" s="40"/>
      <c r="O208" s="41"/>
      <c r="P208" s="60"/>
      <c r="Q208" s="126"/>
      <c r="R208" s="126"/>
      <c r="S208" s="126"/>
      <c r="T208" s="126"/>
      <c r="U208" s="126"/>
      <c r="V208" s="126"/>
      <c r="W208" s="126"/>
      <c r="X208" s="126"/>
      <c r="Y208" s="126"/>
      <c r="Z208" s="126"/>
      <c r="AA208" s="126"/>
      <c r="AB208" s="126"/>
      <c r="AC208" s="126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</row>
    <row r="209" spans="1:63" x14ac:dyDescent="0.3">
      <c r="B209" s="93" t="s">
        <v>51</v>
      </c>
      <c r="C209" s="73"/>
      <c r="D209" s="73"/>
      <c r="E209" s="73"/>
      <c r="F209" s="94"/>
      <c r="G209" s="95"/>
      <c r="H209" s="141">
        <f>SUM(H199:H205,H198)</f>
        <v>688.55192000000011</v>
      </c>
      <c r="I209" s="96"/>
      <c r="J209" s="97"/>
      <c r="K209" s="97"/>
      <c r="L209" s="144">
        <f>SUM(L199:L205,L198)</f>
        <v>674.74335999999994</v>
      </c>
      <c r="M209" s="145"/>
      <c r="N209" s="146">
        <f>L209-H209</f>
        <v>-13.80856000000017</v>
      </c>
      <c r="O209" s="98">
        <f>IF((H209)=0,"",(N209/H209))</f>
        <v>-2.0054493494114676E-2</v>
      </c>
      <c r="Q209" s="126"/>
      <c r="R209" s="126"/>
      <c r="S209" s="127"/>
      <c r="T209" s="126"/>
      <c r="U209" s="126"/>
      <c r="V209" s="126"/>
      <c r="W209" s="126"/>
      <c r="X209" s="126"/>
      <c r="Y209" s="126"/>
      <c r="Z209" s="126"/>
      <c r="AA209" s="126"/>
      <c r="AB209" s="126"/>
      <c r="AC209" s="126"/>
    </row>
    <row r="210" spans="1:63" x14ac:dyDescent="0.3">
      <c r="B210" s="99" t="s">
        <v>52</v>
      </c>
      <c r="C210" s="73"/>
      <c r="D210" s="73"/>
      <c r="E210" s="73"/>
      <c r="F210" s="100">
        <v>0.13</v>
      </c>
      <c r="G210" s="101"/>
      <c r="H210" s="142">
        <f>H209*F210</f>
        <v>89.511749600000016</v>
      </c>
      <c r="I210" s="102"/>
      <c r="J210" s="103">
        <v>0.13</v>
      </c>
      <c r="K210" s="102"/>
      <c r="L210" s="147">
        <f>L209*J210</f>
        <v>87.716636799999989</v>
      </c>
      <c r="M210" s="148"/>
      <c r="N210" s="149">
        <f>L210-H210</f>
        <v>-1.7951128000000267</v>
      </c>
      <c r="O210" s="104">
        <f>IF((H210)=0,"",(N210/H210))</f>
        <v>-2.0054493494114724E-2</v>
      </c>
      <c r="Q210" s="126"/>
      <c r="R210" s="126"/>
      <c r="S210" s="127"/>
      <c r="T210" s="126"/>
      <c r="U210" s="126"/>
      <c r="V210" s="126"/>
      <c r="W210" s="126"/>
      <c r="X210" s="126"/>
      <c r="Y210" s="126"/>
      <c r="Z210" s="126"/>
      <c r="AA210" s="126"/>
      <c r="AB210" s="126"/>
      <c r="AC210" s="126"/>
    </row>
    <row r="211" spans="1:63" x14ac:dyDescent="0.3">
      <c r="B211" s="105" t="s">
        <v>53</v>
      </c>
      <c r="C211" s="73"/>
      <c r="D211" s="73"/>
      <c r="E211" s="73"/>
      <c r="F211" s="106"/>
      <c r="G211" s="101"/>
      <c r="H211" s="142">
        <f>H209+H210</f>
        <v>778.06366960000014</v>
      </c>
      <c r="I211" s="102"/>
      <c r="J211" s="102"/>
      <c r="K211" s="102"/>
      <c r="L211" s="147">
        <f>L209+L210</f>
        <v>762.45999679999989</v>
      </c>
      <c r="M211" s="148"/>
      <c r="N211" s="149">
        <f>L211-H211</f>
        <v>-15.603672800000254</v>
      </c>
      <c r="O211" s="104">
        <f>IF((H211)=0,"",(N211/H211))</f>
        <v>-2.0054493494114752E-2</v>
      </c>
      <c r="Q211" s="126"/>
      <c r="R211" s="126"/>
      <c r="S211" s="127"/>
      <c r="T211" s="126"/>
      <c r="U211" s="126"/>
      <c r="V211" s="126"/>
      <c r="W211" s="126"/>
      <c r="X211" s="126"/>
      <c r="Y211" s="126"/>
      <c r="Z211" s="126"/>
      <c r="AA211" s="126"/>
      <c r="AB211" s="126"/>
      <c r="AC211" s="126"/>
    </row>
    <row r="212" spans="1:63" ht="14.4" customHeight="1" x14ac:dyDescent="0.3">
      <c r="B212" s="172" t="s">
        <v>54</v>
      </c>
      <c r="C212" s="172"/>
      <c r="D212" s="172"/>
      <c r="E212" s="73"/>
      <c r="F212" s="106"/>
      <c r="G212" s="101"/>
      <c r="H212" s="143">
        <f>ROUND(-H211*10%,2)</f>
        <v>-77.81</v>
      </c>
      <c r="I212" s="102"/>
      <c r="J212" s="102"/>
      <c r="K212" s="102"/>
      <c r="L212" s="150">
        <f>ROUND(-L211*10%,2)</f>
        <v>-76.25</v>
      </c>
      <c r="M212" s="148"/>
      <c r="N212" s="151">
        <f>L212-H212</f>
        <v>1.5600000000000023</v>
      </c>
      <c r="O212" s="107">
        <f>IF((H212)=0,"",(N212/H212))</f>
        <v>-2.0048836910422852E-2</v>
      </c>
      <c r="Q212" s="126"/>
      <c r="R212" s="126"/>
      <c r="S212" s="126"/>
      <c r="T212" s="126"/>
      <c r="U212" s="126"/>
      <c r="V212" s="126"/>
      <c r="W212" s="126"/>
      <c r="X212" s="126"/>
      <c r="Y212" s="126"/>
      <c r="Z212" s="126"/>
      <c r="AA212" s="126"/>
      <c r="AB212" s="126"/>
      <c r="AC212" s="126"/>
    </row>
    <row r="213" spans="1:63" s="4" customFormat="1" ht="15" thickBot="1" x14ac:dyDescent="0.35">
      <c r="A213" s="60"/>
      <c r="B213" s="173" t="s">
        <v>55</v>
      </c>
      <c r="C213" s="173"/>
      <c r="D213" s="173"/>
      <c r="E213" s="42"/>
      <c r="F213" s="43"/>
      <c r="G213" s="44"/>
      <c r="H213" s="45">
        <f>H211+H212</f>
        <v>700.25366960000019</v>
      </c>
      <c r="I213" s="46"/>
      <c r="J213" s="46"/>
      <c r="K213" s="46"/>
      <c r="L213" s="47">
        <f>L211+L212</f>
        <v>686.20999679999989</v>
      </c>
      <c r="M213" s="48"/>
      <c r="N213" s="49">
        <f>L213-H213</f>
        <v>-14.043672800000309</v>
      </c>
      <c r="O213" s="50">
        <f>IF((H213)=0,"",(N213/H213))</f>
        <v>-2.0055122036022107E-2</v>
      </c>
      <c r="P213" s="60"/>
      <c r="Q213" s="126"/>
      <c r="R213" s="126"/>
      <c r="S213" s="126"/>
      <c r="T213" s="126"/>
      <c r="U213" s="126"/>
      <c r="V213" s="126"/>
      <c r="W213" s="126"/>
      <c r="X213" s="126"/>
      <c r="Y213" s="126"/>
      <c r="Z213" s="126"/>
      <c r="AA213" s="126"/>
      <c r="AB213" s="126"/>
      <c r="AC213" s="126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</row>
    <row r="214" spans="1:63" s="4" customFormat="1" ht="15" thickBot="1" x14ac:dyDescent="0.35">
      <c r="A214" s="60"/>
      <c r="B214" s="32"/>
      <c r="C214" s="33"/>
      <c r="D214" s="34"/>
      <c r="E214" s="33"/>
      <c r="F214" s="35"/>
      <c r="G214" s="36"/>
      <c r="H214" s="37"/>
      <c r="I214" s="38"/>
      <c r="J214" s="35"/>
      <c r="K214" s="39"/>
      <c r="L214" s="37"/>
      <c r="M214" s="123"/>
      <c r="N214" s="40"/>
      <c r="O214" s="41"/>
      <c r="P214" s="60"/>
      <c r="Q214" s="126"/>
      <c r="R214" s="126"/>
      <c r="S214" s="126"/>
      <c r="T214" s="126"/>
      <c r="U214" s="126"/>
      <c r="V214" s="126"/>
      <c r="W214" s="126"/>
      <c r="X214" s="126"/>
      <c r="Y214" s="126"/>
      <c r="Z214" s="126"/>
      <c r="AA214" s="126"/>
      <c r="AB214" s="126"/>
      <c r="AC214" s="126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</row>
    <row r="215" spans="1:63" s="92" customFormat="1" ht="13.2" x14ac:dyDescent="0.25">
      <c r="B215" s="108" t="s">
        <v>56</v>
      </c>
      <c r="C215" s="90"/>
      <c r="D215" s="90"/>
      <c r="E215" s="90"/>
      <c r="F215" s="109"/>
      <c r="G215" s="110"/>
      <c r="H215" s="152">
        <f>SUM(H206:H207,H198,H199:H202)</f>
        <v>699.20191999999997</v>
      </c>
      <c r="I215" s="111"/>
      <c r="J215" s="112"/>
      <c r="K215" s="112"/>
      <c r="L215" s="155">
        <f>SUM(L206:L207,L198,L199:L202)</f>
        <v>685.39336000000003</v>
      </c>
      <c r="M215" s="156"/>
      <c r="N215" s="157">
        <f>L215-H215</f>
        <v>-13.808559999999943</v>
      </c>
      <c r="O215" s="98">
        <f>IF((H215)=0,"",(N215/H215))</f>
        <v>-1.9749030437444942E-2</v>
      </c>
      <c r="Q215" s="128"/>
      <c r="R215" s="128"/>
      <c r="S215" s="128"/>
      <c r="T215" s="128"/>
      <c r="U215" s="128"/>
      <c r="V215" s="128"/>
      <c r="W215" s="128"/>
      <c r="X215" s="128"/>
      <c r="Y215" s="128"/>
      <c r="Z215" s="128"/>
      <c r="AA215" s="128"/>
      <c r="AB215" s="128"/>
      <c r="AC215" s="128"/>
    </row>
    <row r="216" spans="1:63" s="92" customFormat="1" ht="13.2" x14ac:dyDescent="0.25">
      <c r="B216" s="113" t="s">
        <v>52</v>
      </c>
      <c r="C216" s="90"/>
      <c r="D216" s="90"/>
      <c r="E216" s="90"/>
      <c r="F216" s="114">
        <v>0.13</v>
      </c>
      <c r="G216" s="110"/>
      <c r="H216" s="153">
        <f>H215*F216</f>
        <v>90.896249600000004</v>
      </c>
      <c r="I216" s="115"/>
      <c r="J216" s="116">
        <v>0.13</v>
      </c>
      <c r="K216" s="117"/>
      <c r="L216" s="158">
        <f>L215*J216</f>
        <v>89.101136800000006</v>
      </c>
      <c r="M216" s="159"/>
      <c r="N216" s="160">
        <f>L216-H216</f>
        <v>-1.7951127999999983</v>
      </c>
      <c r="O216" s="104">
        <f>IF((H216)=0,"",(N216/H216))</f>
        <v>-1.9749030437445005E-2</v>
      </c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  <c r="AB216" s="128"/>
      <c r="AC216" s="128"/>
    </row>
    <row r="217" spans="1:63" s="92" customFormat="1" ht="13.2" x14ac:dyDescent="0.25">
      <c r="B217" s="118" t="s">
        <v>53</v>
      </c>
      <c r="C217" s="90"/>
      <c r="D217" s="90"/>
      <c r="E217" s="90"/>
      <c r="F217" s="119"/>
      <c r="G217" s="120"/>
      <c r="H217" s="153">
        <f>H215+H216</f>
        <v>790.09816960000001</v>
      </c>
      <c r="I217" s="115"/>
      <c r="J217" s="115"/>
      <c r="K217" s="115"/>
      <c r="L217" s="158">
        <f>L215+L216</f>
        <v>774.49449679999998</v>
      </c>
      <c r="M217" s="159"/>
      <c r="N217" s="160">
        <f>L217-H217</f>
        <v>-15.603672800000027</v>
      </c>
      <c r="O217" s="104">
        <f>IF((H217)=0,"",(N217/H217))</f>
        <v>-1.9749030437445057E-2</v>
      </c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</row>
    <row r="218" spans="1:63" s="92" customFormat="1" ht="13.2" customHeight="1" x14ac:dyDescent="0.25">
      <c r="B218" s="174" t="s">
        <v>54</v>
      </c>
      <c r="C218" s="174"/>
      <c r="D218" s="174"/>
      <c r="E218" s="90"/>
      <c r="F218" s="119"/>
      <c r="G218" s="120"/>
      <c r="H218" s="154">
        <f>ROUND(-H217*10%,2)</f>
        <v>-79.010000000000005</v>
      </c>
      <c r="I218" s="115"/>
      <c r="J218" s="115"/>
      <c r="K218" s="115"/>
      <c r="L218" s="161">
        <f>ROUND(-L217*10%,2)</f>
        <v>-77.45</v>
      </c>
      <c r="M218" s="159"/>
      <c r="N218" s="162">
        <f>L218-H218</f>
        <v>1.5600000000000023</v>
      </c>
      <c r="O218" s="107">
        <f>IF((H218)=0,"",(N218/H218))</f>
        <v>-1.9744336159979777E-2</v>
      </c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</row>
    <row r="219" spans="1:63" s="4" customFormat="1" ht="15" thickBot="1" x14ac:dyDescent="0.35">
      <c r="A219" s="60"/>
      <c r="B219" s="173" t="s">
        <v>57</v>
      </c>
      <c r="C219" s="173"/>
      <c r="D219" s="173"/>
      <c r="E219" s="42"/>
      <c r="F219" s="43"/>
      <c r="G219" s="44"/>
      <c r="H219" s="45">
        <f>SUM(H217:H218)</f>
        <v>711.08816960000001</v>
      </c>
      <c r="I219" s="46"/>
      <c r="J219" s="46"/>
      <c r="K219" s="46"/>
      <c r="L219" s="47">
        <f>SUM(L217:L218)</f>
        <v>697.04449679999993</v>
      </c>
      <c r="M219" s="48"/>
      <c r="N219" s="49">
        <f>L219-H219</f>
        <v>-14.043672800000081</v>
      </c>
      <c r="O219" s="50">
        <f>IF((H219)=0,"",(N219/H219))</f>
        <v>-1.9749552025172774E-2</v>
      </c>
      <c r="P219" s="60"/>
      <c r="Q219" s="126"/>
      <c r="R219" s="126"/>
      <c r="S219" s="126"/>
      <c r="T219" s="126"/>
      <c r="U219" s="126"/>
      <c r="V219" s="126"/>
      <c r="W219" s="126"/>
      <c r="X219" s="126"/>
      <c r="Y219" s="126"/>
      <c r="Z219" s="126"/>
      <c r="AA219" s="126"/>
      <c r="AB219" s="126"/>
      <c r="AC219" s="126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</row>
    <row r="220" spans="1:63" s="4" customFormat="1" ht="15" thickBot="1" x14ac:dyDescent="0.35">
      <c r="A220" s="60"/>
      <c r="B220" s="32"/>
      <c r="C220" s="33"/>
      <c r="D220" s="34"/>
      <c r="E220" s="33"/>
      <c r="F220" s="35"/>
      <c r="G220" s="36"/>
      <c r="H220" s="122"/>
      <c r="I220" s="123"/>
      <c r="J220" s="35"/>
      <c r="K220" s="39"/>
      <c r="L220" s="37"/>
      <c r="M220" s="123"/>
      <c r="N220" s="40"/>
      <c r="O220" s="41"/>
      <c r="P220" s="60"/>
      <c r="Q220" s="126"/>
      <c r="R220" s="126"/>
      <c r="S220" s="126"/>
      <c r="T220" s="126"/>
      <c r="U220" s="126"/>
      <c r="V220" s="126"/>
      <c r="W220" s="126"/>
      <c r="X220" s="126"/>
      <c r="Y220" s="126"/>
      <c r="Z220" s="126"/>
      <c r="AA220" s="126"/>
      <c r="AB220" s="126"/>
      <c r="AC220" s="126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</row>
    <row r="221" spans="1:63" x14ac:dyDescent="0.3">
      <c r="L221" s="88"/>
    </row>
    <row r="222" spans="1:63" x14ac:dyDescent="0.3">
      <c r="B222" s="65" t="s">
        <v>58</v>
      </c>
      <c r="F222" s="51">
        <v>3.7699999999999997E-2</v>
      </c>
      <c r="J222" s="51">
        <f>+Residential!$J$74</f>
        <v>3.7600000000000001E-2</v>
      </c>
    </row>
    <row r="224" spans="1:63" x14ac:dyDescent="0.3">
      <c r="L224" s="56"/>
      <c r="M224" s="56"/>
      <c r="N224" s="56"/>
      <c r="O224" s="56"/>
      <c r="P224" s="56"/>
    </row>
    <row r="225" spans="1:16" ht="16.2" x14ac:dyDescent="0.3">
      <c r="A225" s="121" t="s">
        <v>59</v>
      </c>
    </row>
    <row r="227" spans="1:16" x14ac:dyDescent="0.3">
      <c r="A227" s="60" t="s">
        <v>60</v>
      </c>
    </row>
    <row r="228" spans="1:16" x14ac:dyDescent="0.3">
      <c r="A228" s="60" t="s">
        <v>61</v>
      </c>
    </row>
    <row r="230" spans="1:16" x14ac:dyDescent="0.3">
      <c r="B230" s="60" t="s">
        <v>62</v>
      </c>
    </row>
    <row r="234" spans="1:16" ht="18.75" customHeight="1" x14ac:dyDescent="0.3">
      <c r="B234" s="175" t="s">
        <v>6</v>
      </c>
      <c r="C234" s="175"/>
      <c r="D234" s="175"/>
      <c r="E234" s="175"/>
      <c r="F234" s="175"/>
      <c r="G234" s="175"/>
      <c r="H234" s="175"/>
      <c r="I234" s="175"/>
      <c r="J234" s="175"/>
      <c r="K234" s="175"/>
      <c r="L234" s="175"/>
      <c r="M234" s="175"/>
      <c r="N234" s="175"/>
      <c r="O234" s="175"/>
      <c r="P234" s="56"/>
    </row>
    <row r="235" spans="1:16" ht="19.2" customHeight="1" x14ac:dyDescent="0.3">
      <c r="B235" s="175" t="s">
        <v>7</v>
      </c>
      <c r="C235" s="175"/>
      <c r="D235" s="175"/>
      <c r="E235" s="175"/>
      <c r="F235" s="175"/>
      <c r="G235" s="175"/>
      <c r="H235" s="175"/>
      <c r="I235" s="175"/>
      <c r="J235" s="175"/>
      <c r="K235" s="175"/>
      <c r="L235" s="175"/>
      <c r="M235" s="175"/>
      <c r="N235" s="175"/>
      <c r="O235" s="175"/>
      <c r="P235" s="56"/>
    </row>
    <row r="236" spans="1:16" ht="7.5" customHeight="1" x14ac:dyDescent="0.3">
      <c r="L236" s="56"/>
      <c r="M236" s="56"/>
      <c r="N236" s="56"/>
      <c r="O236" s="56"/>
      <c r="P236" s="56"/>
    </row>
    <row r="237" spans="1:16" ht="7.5" customHeight="1" x14ac:dyDescent="0.3">
      <c r="L237" s="56"/>
      <c r="M237" s="56"/>
      <c r="N237" s="56"/>
      <c r="O237" s="56"/>
      <c r="P237" s="56"/>
    </row>
    <row r="238" spans="1:16" ht="15.6" x14ac:dyDescent="0.3">
      <c r="B238" s="61" t="s">
        <v>8</v>
      </c>
      <c r="D238" s="185" t="s">
        <v>65</v>
      </c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</row>
    <row r="239" spans="1:16" ht="7.5" customHeight="1" x14ac:dyDescent="0.3">
      <c r="B239" s="62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</row>
    <row r="240" spans="1:16" ht="15.6" x14ac:dyDescent="0.3">
      <c r="B240" s="61" t="s">
        <v>9</v>
      </c>
      <c r="D240" s="5" t="s">
        <v>10</v>
      </c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</row>
    <row r="241" spans="2:29" ht="15.6" x14ac:dyDescent="0.3">
      <c r="B241" s="62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</row>
    <row r="242" spans="2:29" ht="15" customHeight="1" x14ac:dyDescent="0.3">
      <c r="B242" s="64"/>
      <c r="D242" s="65" t="s">
        <v>11</v>
      </c>
      <c r="E242" s="65"/>
      <c r="F242" s="6">
        <v>10000</v>
      </c>
      <c r="G242" s="65" t="s">
        <v>12</v>
      </c>
    </row>
    <row r="243" spans="2:29" x14ac:dyDescent="0.3">
      <c r="B243" s="64"/>
      <c r="G243" s="65"/>
    </row>
    <row r="244" spans="2:29" x14ac:dyDescent="0.3">
      <c r="B244" s="64"/>
      <c r="D244" s="66"/>
      <c r="E244" s="66"/>
      <c r="F244" s="176" t="s">
        <v>13</v>
      </c>
      <c r="G244" s="177"/>
      <c r="H244" s="178"/>
      <c r="J244" s="176" t="s">
        <v>14</v>
      </c>
      <c r="K244" s="177"/>
      <c r="L244" s="178"/>
      <c r="N244" s="176" t="s">
        <v>15</v>
      </c>
      <c r="O244" s="178"/>
      <c r="Q244" s="126"/>
      <c r="R244" s="126"/>
      <c r="S244" s="126"/>
      <c r="T244" s="126"/>
      <c r="U244" s="126"/>
      <c r="V244" s="126"/>
      <c r="W244" s="126"/>
      <c r="X244" s="126"/>
      <c r="Y244" s="126"/>
      <c r="Z244" s="126"/>
      <c r="AA244" s="126"/>
      <c r="AB244" s="126"/>
      <c r="AC244" s="126"/>
    </row>
    <row r="245" spans="2:29" x14ac:dyDescent="0.3">
      <c r="B245" s="64"/>
      <c r="D245" s="179" t="s">
        <v>16</v>
      </c>
      <c r="E245" s="67"/>
      <c r="F245" s="68" t="s">
        <v>17</v>
      </c>
      <c r="G245" s="68" t="s">
        <v>18</v>
      </c>
      <c r="H245" s="69" t="s">
        <v>19</v>
      </c>
      <c r="J245" s="68" t="s">
        <v>17</v>
      </c>
      <c r="K245" s="70" t="s">
        <v>18</v>
      </c>
      <c r="L245" s="69" t="s">
        <v>19</v>
      </c>
      <c r="N245" s="181" t="s">
        <v>20</v>
      </c>
      <c r="O245" s="183" t="s">
        <v>21</v>
      </c>
      <c r="Q245" s="126"/>
      <c r="R245" s="126"/>
      <c r="S245" s="126"/>
      <c r="T245" s="126"/>
      <c r="U245" s="126"/>
      <c r="V245" s="126"/>
      <c r="W245" s="126"/>
      <c r="X245" s="126"/>
      <c r="Y245" s="126"/>
      <c r="Z245" s="126"/>
      <c r="AA245" s="126"/>
      <c r="AB245" s="126"/>
      <c r="AC245" s="126"/>
    </row>
    <row r="246" spans="2:29" x14ac:dyDescent="0.3">
      <c r="B246" s="64"/>
      <c r="D246" s="180"/>
      <c r="E246" s="67"/>
      <c r="F246" s="71" t="s">
        <v>22</v>
      </c>
      <c r="G246" s="71"/>
      <c r="H246" s="72" t="s">
        <v>22</v>
      </c>
      <c r="J246" s="71" t="s">
        <v>22</v>
      </c>
      <c r="K246" s="72"/>
      <c r="L246" s="72" t="s">
        <v>22</v>
      </c>
      <c r="N246" s="182"/>
      <c r="O246" s="184"/>
      <c r="Q246" s="126"/>
      <c r="R246" s="126"/>
      <c r="S246" s="126"/>
      <c r="T246" s="126"/>
      <c r="U246" s="126"/>
      <c r="V246" s="126"/>
      <c r="W246" s="126"/>
      <c r="X246" s="126"/>
      <c r="Y246" s="126"/>
      <c r="Z246" s="126"/>
      <c r="AA246" s="126"/>
      <c r="AB246" s="126"/>
      <c r="AC246" s="126"/>
    </row>
    <row r="247" spans="2:29" x14ac:dyDescent="0.3">
      <c r="B247" s="73" t="s">
        <v>23</v>
      </c>
      <c r="C247" s="73"/>
      <c r="D247" s="7" t="s">
        <v>24</v>
      </c>
      <c r="E247" s="73"/>
      <c r="F247" s="129">
        <v>32.24</v>
      </c>
      <c r="G247" s="74">
        <v>1</v>
      </c>
      <c r="H247" s="75">
        <f t="shared" ref="H247:H262" si="27">G247*F247</f>
        <v>32.24</v>
      </c>
      <c r="I247" s="76"/>
      <c r="J247" s="129">
        <v>34.71</v>
      </c>
      <c r="K247" s="77">
        <v>1</v>
      </c>
      <c r="L247" s="75">
        <f t="shared" ref="L247:L262" si="28">K247*J247</f>
        <v>34.71</v>
      </c>
      <c r="M247" s="76"/>
      <c r="N247" s="78">
        <f t="shared" ref="N247:N283" si="29">L247-H247</f>
        <v>2.4699999999999989</v>
      </c>
      <c r="O247" s="79">
        <f t="shared" ref="O247:O269" si="30">IF((H247)=0,"",(N247/H247))</f>
        <v>7.6612903225806411E-2</v>
      </c>
      <c r="Q247" s="126"/>
      <c r="R247" s="126"/>
      <c r="S247" s="126"/>
      <c r="T247" s="126"/>
      <c r="U247" s="126"/>
      <c r="V247" s="126"/>
      <c r="W247" s="126"/>
      <c r="X247" s="126"/>
      <c r="Y247" s="126"/>
      <c r="Z247" s="126"/>
      <c r="AA247" s="126"/>
      <c r="AB247" s="126"/>
      <c r="AC247" s="126"/>
    </row>
    <row r="248" spans="2:29" x14ac:dyDescent="0.3">
      <c r="B248" s="73" t="s">
        <v>25</v>
      </c>
      <c r="C248" s="73"/>
      <c r="D248" s="7" t="s">
        <v>24</v>
      </c>
      <c r="E248" s="73"/>
      <c r="F248" s="133">
        <v>7.33</v>
      </c>
      <c r="G248" s="74">
        <v>1</v>
      </c>
      <c r="H248" s="136">
        <f t="shared" si="27"/>
        <v>7.33</v>
      </c>
      <c r="I248" s="76"/>
      <c r="J248" s="130"/>
      <c r="K248" s="77">
        <v>1</v>
      </c>
      <c r="L248" s="136">
        <f t="shared" si="28"/>
        <v>0</v>
      </c>
      <c r="M248" s="76"/>
      <c r="N248" s="137">
        <f t="shared" si="29"/>
        <v>-7.33</v>
      </c>
      <c r="O248" s="79">
        <f t="shared" si="30"/>
        <v>-1</v>
      </c>
      <c r="Q248" s="126"/>
      <c r="R248" s="126"/>
      <c r="S248" s="126"/>
      <c r="T248" s="126"/>
      <c r="U248" s="126"/>
      <c r="V248" s="126"/>
      <c r="W248" s="126"/>
      <c r="X248" s="126"/>
      <c r="Y248" s="126"/>
      <c r="Z248" s="126"/>
      <c r="AA248" s="126"/>
      <c r="AB248" s="126"/>
      <c r="AC248" s="126"/>
    </row>
    <row r="249" spans="2:29" x14ac:dyDescent="0.3">
      <c r="B249" s="9"/>
      <c r="C249" s="73"/>
      <c r="D249" s="7"/>
      <c r="E249" s="73"/>
      <c r="F249" s="134"/>
      <c r="G249" s="74">
        <v>1</v>
      </c>
      <c r="H249" s="136">
        <f t="shared" si="27"/>
        <v>0</v>
      </c>
      <c r="I249" s="76"/>
      <c r="J249" s="131"/>
      <c r="K249" s="77">
        <v>1</v>
      </c>
      <c r="L249" s="136">
        <f t="shared" si="28"/>
        <v>0</v>
      </c>
      <c r="M249" s="76"/>
      <c r="N249" s="137">
        <f t="shared" si="29"/>
        <v>0</v>
      </c>
      <c r="O249" s="79" t="str">
        <f t="shared" si="30"/>
        <v/>
      </c>
      <c r="Q249" s="126"/>
      <c r="R249" s="126"/>
      <c r="S249" s="126"/>
      <c r="T249" s="126"/>
      <c r="U249" s="126"/>
      <c r="V249" s="126"/>
      <c r="W249" s="126"/>
      <c r="X249" s="126"/>
      <c r="Y249" s="126"/>
      <c r="Z249" s="126"/>
      <c r="AA249" s="126"/>
      <c r="AB249" s="126"/>
      <c r="AC249" s="126"/>
    </row>
    <row r="250" spans="2:29" x14ac:dyDescent="0.3">
      <c r="B250" s="9"/>
      <c r="C250" s="73"/>
      <c r="D250" s="7"/>
      <c r="E250" s="73"/>
      <c r="F250" s="134"/>
      <c r="G250" s="74">
        <v>1</v>
      </c>
      <c r="H250" s="136">
        <f t="shared" si="27"/>
        <v>0</v>
      </c>
      <c r="I250" s="76"/>
      <c r="J250" s="131"/>
      <c r="K250" s="77">
        <v>1</v>
      </c>
      <c r="L250" s="136">
        <f t="shared" si="28"/>
        <v>0</v>
      </c>
      <c r="M250" s="76"/>
      <c r="N250" s="137">
        <f t="shared" si="29"/>
        <v>0</v>
      </c>
      <c r="O250" s="79" t="str">
        <f t="shared" si="30"/>
        <v/>
      </c>
      <c r="Q250" s="126"/>
      <c r="R250" s="126"/>
      <c r="S250" s="126"/>
      <c r="T250" s="126"/>
      <c r="U250" s="126"/>
      <c r="V250" s="126"/>
      <c r="W250" s="126"/>
      <c r="X250" s="126"/>
      <c r="Y250" s="126"/>
      <c r="Z250" s="126"/>
      <c r="AA250" s="126"/>
      <c r="AB250" s="126"/>
      <c r="AC250" s="126"/>
    </row>
    <row r="251" spans="2:29" x14ac:dyDescent="0.3">
      <c r="B251" s="10"/>
      <c r="C251" s="73"/>
      <c r="D251" s="7"/>
      <c r="E251" s="73"/>
      <c r="F251" s="134"/>
      <c r="G251" s="74">
        <v>1</v>
      </c>
      <c r="H251" s="136">
        <f t="shared" si="27"/>
        <v>0</v>
      </c>
      <c r="I251" s="76"/>
      <c r="J251" s="131"/>
      <c r="K251" s="77">
        <v>1</v>
      </c>
      <c r="L251" s="136">
        <f t="shared" si="28"/>
        <v>0</v>
      </c>
      <c r="M251" s="76"/>
      <c r="N251" s="137">
        <f t="shared" si="29"/>
        <v>0</v>
      </c>
      <c r="O251" s="79" t="str">
        <f t="shared" si="30"/>
        <v/>
      </c>
      <c r="Q251" s="126"/>
      <c r="R251" s="126"/>
      <c r="S251" s="126"/>
      <c r="T251" s="126"/>
      <c r="U251" s="126"/>
      <c r="V251" s="126"/>
      <c r="W251" s="126"/>
      <c r="X251" s="126"/>
      <c r="Y251" s="126"/>
      <c r="Z251" s="126"/>
      <c r="AA251" s="126"/>
      <c r="AB251" s="126"/>
      <c r="AC251" s="126"/>
    </row>
    <row r="252" spans="2:29" x14ac:dyDescent="0.3">
      <c r="B252" s="10"/>
      <c r="C252" s="73"/>
      <c r="D252" s="7"/>
      <c r="E252" s="73"/>
      <c r="F252" s="134"/>
      <c r="G252" s="74">
        <v>1</v>
      </c>
      <c r="H252" s="136">
        <f t="shared" si="27"/>
        <v>0</v>
      </c>
      <c r="I252" s="76"/>
      <c r="J252" s="131"/>
      <c r="K252" s="77">
        <v>1</v>
      </c>
      <c r="L252" s="136">
        <f t="shared" si="28"/>
        <v>0</v>
      </c>
      <c r="M252" s="76"/>
      <c r="N252" s="137">
        <f t="shared" si="29"/>
        <v>0</v>
      </c>
      <c r="O252" s="79" t="str">
        <f t="shared" si="30"/>
        <v/>
      </c>
      <c r="Q252" s="126"/>
      <c r="R252" s="126"/>
      <c r="S252" s="126"/>
      <c r="T252" s="126"/>
      <c r="U252" s="126"/>
      <c r="V252" s="126"/>
      <c r="W252" s="126"/>
      <c r="X252" s="126"/>
      <c r="Y252" s="126"/>
      <c r="Z252" s="126"/>
      <c r="AA252" s="126"/>
      <c r="AB252" s="126"/>
      <c r="AC252" s="126"/>
    </row>
    <row r="253" spans="2:29" x14ac:dyDescent="0.3">
      <c r="B253" s="73" t="s">
        <v>26</v>
      </c>
      <c r="C253" s="73"/>
      <c r="D253" s="7" t="s">
        <v>27</v>
      </c>
      <c r="E253" s="73"/>
      <c r="F253" s="135">
        <v>1.4200000000000001E-2</v>
      </c>
      <c r="G253" s="74">
        <f>$F242</f>
        <v>10000</v>
      </c>
      <c r="H253" s="136">
        <f t="shared" si="27"/>
        <v>142</v>
      </c>
      <c r="I253" s="76"/>
      <c r="J253" s="132">
        <v>1.5299999999999999E-2</v>
      </c>
      <c r="K253" s="74">
        <f>$F242</f>
        <v>10000</v>
      </c>
      <c r="L253" s="136">
        <f t="shared" si="28"/>
        <v>153</v>
      </c>
      <c r="M253" s="76"/>
      <c r="N253" s="137">
        <f t="shared" si="29"/>
        <v>11</v>
      </c>
      <c r="O253" s="79">
        <f t="shared" si="30"/>
        <v>7.746478873239436E-2</v>
      </c>
      <c r="Q253" s="126"/>
      <c r="R253" s="126"/>
      <c r="S253" s="126"/>
      <c r="T253" s="126"/>
      <c r="U253" s="126"/>
      <c r="V253" s="126"/>
      <c r="W253" s="126"/>
      <c r="X253" s="126"/>
      <c r="Y253" s="126"/>
      <c r="Z253" s="126"/>
      <c r="AA253" s="126"/>
      <c r="AB253" s="126"/>
      <c r="AC253" s="126"/>
    </row>
    <row r="254" spans="2:29" x14ac:dyDescent="0.3">
      <c r="B254" s="73" t="s">
        <v>28</v>
      </c>
      <c r="C254" s="73"/>
      <c r="D254" s="7" t="s">
        <v>24</v>
      </c>
      <c r="E254" s="73"/>
      <c r="F254" s="135">
        <v>4.63</v>
      </c>
      <c r="G254" s="74">
        <v>1</v>
      </c>
      <c r="H254" s="136">
        <f t="shared" si="27"/>
        <v>4.63</v>
      </c>
      <c r="I254" s="76"/>
      <c r="J254" s="132"/>
      <c r="K254" s="74">
        <v>1</v>
      </c>
      <c r="L254" s="136">
        <f t="shared" si="28"/>
        <v>0</v>
      </c>
      <c r="M254" s="76"/>
      <c r="N254" s="137">
        <f t="shared" si="29"/>
        <v>-4.63</v>
      </c>
      <c r="O254" s="79">
        <f t="shared" si="30"/>
        <v>-1</v>
      </c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  <c r="AB254" s="126"/>
      <c r="AC254" s="126"/>
    </row>
    <row r="255" spans="2:29" x14ac:dyDescent="0.3">
      <c r="B255" s="73" t="s">
        <v>29</v>
      </c>
      <c r="C255" s="73"/>
      <c r="D255" s="7" t="s">
        <v>27</v>
      </c>
      <c r="E255" s="73"/>
      <c r="F255" s="135">
        <v>0</v>
      </c>
      <c r="G255" s="74">
        <f>$F242</f>
        <v>10000</v>
      </c>
      <c r="H255" s="136">
        <f t="shared" si="27"/>
        <v>0</v>
      </c>
      <c r="I255" s="76"/>
      <c r="J255" s="171">
        <v>0</v>
      </c>
      <c r="K255" s="74">
        <f>$F242</f>
        <v>10000</v>
      </c>
      <c r="L255" s="136">
        <f t="shared" si="28"/>
        <v>0</v>
      </c>
      <c r="M255" s="76"/>
      <c r="N255" s="137">
        <f t="shared" si="29"/>
        <v>0</v>
      </c>
      <c r="O255" s="79" t="str">
        <f t="shared" si="30"/>
        <v/>
      </c>
      <c r="Q255" s="126"/>
      <c r="R255" s="126"/>
      <c r="S255" s="126"/>
      <c r="T255" s="126"/>
      <c r="U255" s="126"/>
      <c r="V255" s="126"/>
      <c r="W255" s="126"/>
      <c r="X255" s="126"/>
      <c r="Y255" s="126"/>
      <c r="Z255" s="126"/>
      <c r="AA255" s="126"/>
      <c r="AB255" s="126"/>
      <c r="AC255" s="126"/>
    </row>
    <row r="256" spans="2:29" x14ac:dyDescent="0.3">
      <c r="B256" s="11" t="s">
        <v>30</v>
      </c>
      <c r="C256" s="73"/>
      <c r="D256" s="7" t="s">
        <v>27</v>
      </c>
      <c r="E256" s="73"/>
      <c r="F256" s="135">
        <v>1.5E-3</v>
      </c>
      <c r="G256" s="74">
        <f>$F242</f>
        <v>10000</v>
      </c>
      <c r="H256" s="136">
        <f t="shared" si="27"/>
        <v>15</v>
      </c>
      <c r="I256" s="76"/>
      <c r="J256" s="132"/>
      <c r="K256" s="74">
        <f>$F242</f>
        <v>10000</v>
      </c>
      <c r="L256" s="136">
        <f t="shared" si="28"/>
        <v>0</v>
      </c>
      <c r="M256" s="76"/>
      <c r="N256" s="137">
        <f t="shared" si="29"/>
        <v>-15</v>
      </c>
      <c r="O256" s="79">
        <f t="shared" si="30"/>
        <v>-1</v>
      </c>
      <c r="Q256" s="126"/>
      <c r="R256" s="126"/>
      <c r="S256" s="126"/>
      <c r="T256" s="126"/>
      <c r="U256" s="126"/>
      <c r="V256" s="126"/>
      <c r="W256" s="126"/>
      <c r="X256" s="126"/>
      <c r="Y256" s="126"/>
      <c r="Z256" s="126"/>
      <c r="AA256" s="126"/>
      <c r="AB256" s="126"/>
      <c r="AC256" s="126"/>
    </row>
    <row r="257" spans="1:63" x14ac:dyDescent="0.3">
      <c r="B257" s="11" t="s">
        <v>31</v>
      </c>
      <c r="C257" s="73"/>
      <c r="D257" s="7" t="s">
        <v>27</v>
      </c>
      <c r="E257" s="73"/>
      <c r="F257" s="135">
        <v>-2.9999999999999997E-4</v>
      </c>
      <c r="G257" s="74">
        <f>$F242</f>
        <v>10000</v>
      </c>
      <c r="H257" s="136">
        <f t="shared" si="27"/>
        <v>-2.9999999999999996</v>
      </c>
      <c r="I257" s="76"/>
      <c r="J257" s="132"/>
      <c r="K257" s="74">
        <f>$F242</f>
        <v>10000</v>
      </c>
      <c r="L257" s="136">
        <f t="shared" si="28"/>
        <v>0</v>
      </c>
      <c r="M257" s="76"/>
      <c r="N257" s="137">
        <f t="shared" si="29"/>
        <v>2.9999999999999996</v>
      </c>
      <c r="O257" s="79">
        <f t="shared" si="30"/>
        <v>-1</v>
      </c>
      <c r="Q257" s="126"/>
      <c r="R257" s="126"/>
      <c r="S257" s="126"/>
      <c r="T257" s="126"/>
      <c r="U257" s="126"/>
      <c r="V257" s="126"/>
      <c r="W257" s="126"/>
      <c r="X257" s="126"/>
      <c r="Y257" s="126"/>
      <c r="Z257" s="126"/>
      <c r="AA257" s="126"/>
      <c r="AB257" s="126"/>
      <c r="AC257" s="126"/>
    </row>
    <row r="258" spans="1:63" x14ac:dyDescent="0.3">
      <c r="B258" s="11" t="s">
        <v>32</v>
      </c>
      <c r="C258" s="73"/>
      <c r="D258" s="7" t="s">
        <v>24</v>
      </c>
      <c r="E258" s="73"/>
      <c r="F258" s="135"/>
      <c r="G258" s="74">
        <v>1</v>
      </c>
      <c r="H258" s="136">
        <f t="shared" si="27"/>
        <v>0</v>
      </c>
      <c r="I258" s="76"/>
      <c r="J258" s="171">
        <v>2.27</v>
      </c>
      <c r="K258" s="74">
        <v>1</v>
      </c>
      <c r="L258" s="136">
        <f t="shared" si="28"/>
        <v>2.27</v>
      </c>
      <c r="M258" s="76"/>
      <c r="N258" s="137">
        <f t="shared" si="29"/>
        <v>2.27</v>
      </c>
      <c r="O258" s="79" t="str">
        <f t="shared" si="30"/>
        <v/>
      </c>
      <c r="Q258" s="126"/>
      <c r="R258" s="126"/>
      <c r="S258" s="126"/>
      <c r="T258" s="126"/>
      <c r="U258" s="126"/>
      <c r="V258" s="126"/>
      <c r="W258" s="126"/>
      <c r="X258" s="126"/>
      <c r="Y258" s="126"/>
      <c r="Z258" s="126"/>
      <c r="AA258" s="126"/>
      <c r="AB258" s="126"/>
      <c r="AC258" s="126"/>
    </row>
    <row r="259" spans="1:63" x14ac:dyDescent="0.3">
      <c r="B259" s="12" t="str">
        <f>+Residential!$B$35</f>
        <v>Rate Rider for Disposition of Account 1576</v>
      </c>
      <c r="C259" s="73"/>
      <c r="D259" s="7" t="s">
        <v>27</v>
      </c>
      <c r="E259" s="73"/>
      <c r="F259" s="134"/>
      <c r="G259" s="74">
        <f>$F242</f>
        <v>10000</v>
      </c>
      <c r="H259" s="136">
        <f t="shared" si="27"/>
        <v>0</v>
      </c>
      <c r="I259" s="76"/>
      <c r="J259" s="171">
        <v>-5.9999999999999995E-4</v>
      </c>
      <c r="K259" s="74">
        <f>$F242</f>
        <v>10000</v>
      </c>
      <c r="L259" s="136">
        <f t="shared" si="28"/>
        <v>-5.9999999999999991</v>
      </c>
      <c r="M259" s="76"/>
      <c r="N259" s="137">
        <f t="shared" si="29"/>
        <v>-5.9999999999999991</v>
      </c>
      <c r="O259" s="79" t="str">
        <f t="shared" si="30"/>
        <v/>
      </c>
      <c r="Q259" s="126"/>
      <c r="R259" s="126"/>
      <c r="S259" s="126"/>
      <c r="T259" s="126"/>
      <c r="U259" s="126"/>
      <c r="V259" s="126"/>
      <c r="W259" s="126"/>
      <c r="X259" s="126"/>
      <c r="Y259" s="126"/>
      <c r="Z259" s="126"/>
      <c r="AA259" s="126"/>
      <c r="AB259" s="126"/>
      <c r="AC259" s="126"/>
    </row>
    <row r="260" spans="1:63" x14ac:dyDescent="0.3">
      <c r="B260" s="12" t="str">
        <f>+Residential!$B$36</f>
        <v xml:space="preserve">Rate Rider for Disposition of CGAAP CWIP differential </v>
      </c>
      <c r="C260" s="73"/>
      <c r="D260" s="7" t="s">
        <v>27</v>
      </c>
      <c r="E260" s="73"/>
      <c r="F260" s="134"/>
      <c r="G260" s="74">
        <f>$F242</f>
        <v>10000</v>
      </c>
      <c r="H260" s="136">
        <f t="shared" si="27"/>
        <v>0</v>
      </c>
      <c r="I260" s="76"/>
      <c r="J260" s="171">
        <v>2.9999999999999997E-4</v>
      </c>
      <c r="K260" s="74">
        <f>$F242</f>
        <v>10000</v>
      </c>
      <c r="L260" s="136">
        <f t="shared" si="28"/>
        <v>2.9999999999999996</v>
      </c>
      <c r="M260" s="76"/>
      <c r="N260" s="137">
        <f t="shared" si="29"/>
        <v>2.9999999999999996</v>
      </c>
      <c r="O260" s="79" t="str">
        <f t="shared" si="30"/>
        <v/>
      </c>
      <c r="Q260" s="126"/>
      <c r="R260" s="126"/>
      <c r="S260" s="126"/>
      <c r="T260" s="126"/>
      <c r="U260" s="126"/>
      <c r="V260" s="126"/>
      <c r="W260" s="126"/>
      <c r="X260" s="126"/>
      <c r="Y260" s="126"/>
      <c r="Z260" s="126"/>
      <c r="AA260" s="126"/>
      <c r="AB260" s="126"/>
      <c r="AC260" s="126"/>
    </row>
    <row r="261" spans="1:63" x14ac:dyDescent="0.3">
      <c r="B261" s="12" t="str">
        <f>+Residential!$B$37</f>
        <v xml:space="preserve">Rate Rider for Disposition of Incremental Capital Expenditures </v>
      </c>
      <c r="C261" s="73"/>
      <c r="D261" s="7" t="s">
        <v>27</v>
      </c>
      <c r="E261" s="73"/>
      <c r="F261" s="131"/>
      <c r="G261" s="74">
        <f>$F242</f>
        <v>10000</v>
      </c>
      <c r="H261" s="136">
        <f t="shared" si="27"/>
        <v>0</v>
      </c>
      <c r="I261" s="76"/>
      <c r="J261" s="171">
        <v>2.0000000000000001E-4</v>
      </c>
      <c r="K261" s="74">
        <f>$F242</f>
        <v>10000</v>
      </c>
      <c r="L261" s="136">
        <f t="shared" si="28"/>
        <v>2</v>
      </c>
      <c r="M261" s="76"/>
      <c r="N261" s="137">
        <f t="shared" si="29"/>
        <v>2</v>
      </c>
      <c r="O261" s="79" t="str">
        <f t="shared" si="30"/>
        <v/>
      </c>
      <c r="Q261" s="126"/>
      <c r="R261" s="126"/>
      <c r="S261" s="126"/>
      <c r="T261" s="126"/>
      <c r="U261" s="126"/>
      <c r="V261" s="126"/>
      <c r="W261" s="126"/>
      <c r="X261" s="126"/>
      <c r="Y261" s="126"/>
      <c r="Z261" s="126"/>
      <c r="AA261" s="126"/>
      <c r="AB261" s="126"/>
      <c r="AC261" s="126"/>
    </row>
    <row r="262" spans="1:63" x14ac:dyDescent="0.3">
      <c r="B262" s="12"/>
      <c r="C262" s="73"/>
      <c r="D262" s="7"/>
      <c r="E262" s="73"/>
      <c r="F262" s="131"/>
      <c r="G262" s="74">
        <f>$F242</f>
        <v>10000</v>
      </c>
      <c r="H262" s="136">
        <f t="shared" si="27"/>
        <v>0</v>
      </c>
      <c r="I262" s="76"/>
      <c r="J262" s="131"/>
      <c r="K262" s="74">
        <f>$F242</f>
        <v>10000</v>
      </c>
      <c r="L262" s="136">
        <f t="shared" si="28"/>
        <v>0</v>
      </c>
      <c r="M262" s="76"/>
      <c r="N262" s="137">
        <f t="shared" si="29"/>
        <v>0</v>
      </c>
      <c r="O262" s="79" t="str">
        <f t="shared" si="30"/>
        <v/>
      </c>
      <c r="Q262" s="126"/>
      <c r="R262" s="126"/>
      <c r="S262" s="126"/>
      <c r="T262" s="126"/>
      <c r="U262" s="126"/>
      <c r="V262" s="126"/>
      <c r="W262" s="126"/>
      <c r="X262" s="126"/>
      <c r="Y262" s="126"/>
      <c r="Z262" s="126"/>
      <c r="AA262" s="126"/>
      <c r="AB262" s="126"/>
      <c r="AC262" s="126"/>
    </row>
    <row r="263" spans="1:63" s="4" customFormat="1" x14ac:dyDescent="0.3">
      <c r="A263" s="60"/>
      <c r="B263" s="19" t="s">
        <v>33</v>
      </c>
      <c r="C263" s="20"/>
      <c r="D263" s="20"/>
      <c r="E263" s="20"/>
      <c r="F263" s="21"/>
      <c r="G263" s="22"/>
      <c r="H263" s="23">
        <f>SUM(H247:H262)</f>
        <v>198.2</v>
      </c>
      <c r="I263" s="13"/>
      <c r="J263" s="14"/>
      <c r="K263" s="24"/>
      <c r="L263" s="23">
        <f>SUM(L247:L262)</f>
        <v>188.98000000000002</v>
      </c>
      <c r="M263" s="13"/>
      <c r="N263" s="15">
        <f t="shared" si="29"/>
        <v>-9.2199999999999704</v>
      </c>
      <c r="O263" s="16">
        <f t="shared" si="30"/>
        <v>-4.6518668012108834E-2</v>
      </c>
      <c r="P263" s="60"/>
      <c r="Q263" s="126"/>
      <c r="R263" s="126"/>
      <c r="S263" s="126"/>
      <c r="T263" s="126"/>
      <c r="U263" s="126"/>
      <c r="V263" s="126"/>
      <c r="W263" s="126"/>
      <c r="X263" s="126"/>
      <c r="Y263" s="126"/>
      <c r="Z263" s="126"/>
      <c r="AA263" s="126"/>
      <c r="AB263" s="126"/>
      <c r="AC263" s="126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T263" s="60"/>
      <c r="AU263" s="60"/>
      <c r="AV263" s="60"/>
      <c r="AW263" s="60"/>
      <c r="AX263" s="60"/>
      <c r="AY263" s="60"/>
      <c r="AZ263" s="60"/>
      <c r="BA263" s="60"/>
      <c r="BB263" s="60"/>
      <c r="BC263" s="60"/>
      <c r="BD263" s="60"/>
      <c r="BE263" s="60"/>
      <c r="BF263" s="60"/>
      <c r="BG263" s="60"/>
      <c r="BH263" s="60"/>
      <c r="BI263" s="60"/>
      <c r="BJ263" s="60"/>
      <c r="BK263" s="60"/>
    </row>
    <row r="264" spans="1:63" x14ac:dyDescent="0.3">
      <c r="B264" s="17" t="s">
        <v>34</v>
      </c>
      <c r="C264" s="73"/>
      <c r="D264" s="7" t="s">
        <v>27</v>
      </c>
      <c r="E264" s="73"/>
      <c r="F264" s="135">
        <v>2.9999999999999997E-4</v>
      </c>
      <c r="G264" s="74">
        <f>$F242</f>
        <v>10000</v>
      </c>
      <c r="H264" s="136">
        <f t="shared" ref="H264:H270" si="31">G264*F264</f>
        <v>2.9999999999999996</v>
      </c>
      <c r="I264" s="76"/>
      <c r="J264" s="171">
        <v>-6.9999999999999999E-4</v>
      </c>
      <c r="K264" s="74">
        <f>$F242</f>
        <v>10000</v>
      </c>
      <c r="L264" s="136">
        <f t="shared" ref="L264:L270" si="32">K264*J264</f>
        <v>-7</v>
      </c>
      <c r="M264" s="76"/>
      <c r="N264" s="137">
        <f t="shared" si="29"/>
        <v>-10</v>
      </c>
      <c r="O264" s="79">
        <f t="shared" si="30"/>
        <v>-3.3333333333333339</v>
      </c>
      <c r="Q264" s="126"/>
      <c r="R264" s="126"/>
      <c r="S264" s="126"/>
      <c r="T264" s="126"/>
      <c r="U264" s="126"/>
      <c r="V264" s="126"/>
      <c r="W264" s="126"/>
      <c r="X264" s="126"/>
      <c r="Y264" s="126"/>
      <c r="Z264" s="126"/>
      <c r="AA264" s="126"/>
      <c r="AB264" s="126"/>
      <c r="AC264" s="126"/>
    </row>
    <row r="265" spans="1:63" x14ac:dyDescent="0.3">
      <c r="B265" s="17"/>
      <c r="C265" s="73"/>
      <c r="D265" s="7"/>
      <c r="E265" s="73"/>
      <c r="F265" s="8"/>
      <c r="G265" s="74">
        <f>$F242</f>
        <v>10000</v>
      </c>
      <c r="H265" s="136">
        <f t="shared" si="31"/>
        <v>0</v>
      </c>
      <c r="I265" s="82"/>
      <c r="J265" s="8"/>
      <c r="K265" s="74">
        <f>$F242</f>
        <v>10000</v>
      </c>
      <c r="L265" s="136">
        <f t="shared" si="32"/>
        <v>0</v>
      </c>
      <c r="M265" s="83"/>
      <c r="N265" s="137">
        <f t="shared" si="29"/>
        <v>0</v>
      </c>
      <c r="O265" s="79" t="str">
        <f t="shared" si="30"/>
        <v/>
      </c>
      <c r="Q265" s="126"/>
      <c r="R265" s="126"/>
      <c r="S265" s="126"/>
      <c r="T265" s="126"/>
      <c r="U265" s="126"/>
      <c r="V265" s="126"/>
      <c r="W265" s="126"/>
      <c r="X265" s="126"/>
      <c r="Y265" s="126"/>
      <c r="Z265" s="126"/>
      <c r="AA265" s="126"/>
      <c r="AB265" s="126"/>
      <c r="AC265" s="126"/>
    </row>
    <row r="266" spans="1:63" x14ac:dyDescent="0.3">
      <c r="B266" s="17"/>
      <c r="C266" s="73"/>
      <c r="D266" s="7"/>
      <c r="E266" s="73"/>
      <c r="F266" s="8"/>
      <c r="G266" s="74">
        <f>$F242</f>
        <v>10000</v>
      </c>
      <c r="H266" s="136">
        <f t="shared" si="31"/>
        <v>0</v>
      </c>
      <c r="I266" s="82"/>
      <c r="J266" s="8"/>
      <c r="K266" s="74">
        <f>$F242</f>
        <v>10000</v>
      </c>
      <c r="L266" s="136">
        <f t="shared" si="32"/>
        <v>0</v>
      </c>
      <c r="M266" s="83"/>
      <c r="N266" s="137">
        <f t="shared" si="29"/>
        <v>0</v>
      </c>
      <c r="O266" s="79" t="str">
        <f t="shared" si="30"/>
        <v/>
      </c>
      <c r="Q266" s="126"/>
      <c r="R266" s="126"/>
      <c r="S266" s="126"/>
      <c r="T266" s="126"/>
      <c r="U266" s="126"/>
      <c r="V266" s="126"/>
      <c r="W266" s="126"/>
      <c r="X266" s="126"/>
      <c r="Y266" s="126"/>
      <c r="Z266" s="126"/>
      <c r="AA266" s="126"/>
      <c r="AB266" s="126"/>
      <c r="AC266" s="126"/>
    </row>
    <row r="267" spans="1:63" x14ac:dyDescent="0.3">
      <c r="B267" s="17"/>
      <c r="C267" s="73"/>
      <c r="D267" s="7"/>
      <c r="E267" s="73"/>
      <c r="F267" s="8"/>
      <c r="G267" s="74">
        <f>$F242</f>
        <v>10000</v>
      </c>
      <c r="H267" s="136">
        <f t="shared" si="31"/>
        <v>0</v>
      </c>
      <c r="I267" s="82"/>
      <c r="J267" s="8"/>
      <c r="K267" s="74">
        <f>$F242</f>
        <v>10000</v>
      </c>
      <c r="L267" s="136">
        <f t="shared" si="32"/>
        <v>0</v>
      </c>
      <c r="M267" s="83"/>
      <c r="N267" s="137">
        <f t="shared" si="29"/>
        <v>0</v>
      </c>
      <c r="O267" s="79" t="str">
        <f t="shared" si="30"/>
        <v/>
      </c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  <c r="AB267" s="126"/>
      <c r="AC267" s="126"/>
    </row>
    <row r="268" spans="1:63" x14ac:dyDescent="0.3">
      <c r="B268" s="80" t="s">
        <v>35</v>
      </c>
      <c r="C268" s="73"/>
      <c r="D268" s="7" t="s">
        <v>27</v>
      </c>
      <c r="E268" s="73"/>
      <c r="F268" s="135">
        <v>2.0000000000000001E-4</v>
      </c>
      <c r="G268" s="74">
        <f>$F242</f>
        <v>10000</v>
      </c>
      <c r="H268" s="136">
        <f t="shared" si="31"/>
        <v>2</v>
      </c>
      <c r="I268" s="76"/>
      <c r="J268" s="171">
        <v>2.9999999999999997E-4</v>
      </c>
      <c r="K268" s="74">
        <f>$F242</f>
        <v>10000</v>
      </c>
      <c r="L268" s="136">
        <f t="shared" si="32"/>
        <v>2.9999999999999996</v>
      </c>
      <c r="M268" s="76"/>
      <c r="N268" s="137">
        <f t="shared" si="29"/>
        <v>0.99999999999999956</v>
      </c>
      <c r="O268" s="79">
        <f t="shared" si="30"/>
        <v>0.49999999999999978</v>
      </c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</row>
    <row r="269" spans="1:63" x14ac:dyDescent="0.3">
      <c r="B269" s="80" t="s">
        <v>36</v>
      </c>
      <c r="C269" s="73"/>
      <c r="D269" s="7" t="s">
        <v>27</v>
      </c>
      <c r="E269" s="73"/>
      <c r="F269" s="138">
        <f>IF(ISBLANK(D240)=TRUE, 0, IF(D240="TOU", 0.64*$F279+0.18*$F280+0.18*$F281, IF(AND(D240="non-TOU", G283&gt;0), F283,F282)))</f>
        <v>8.3919999999999995E-2</v>
      </c>
      <c r="G269" s="18">
        <f>$F242*(1+$F298)-$F242</f>
        <v>377</v>
      </c>
      <c r="H269" s="136">
        <f t="shared" si="31"/>
        <v>31.637839999999997</v>
      </c>
      <c r="I269" s="76"/>
      <c r="J269" s="138">
        <f>0.64*$F279+0.18*$F280+0.18*$F281</f>
        <v>8.3919999999999995E-2</v>
      </c>
      <c r="K269" s="18">
        <f>$F242*(1+$J298)-$F242</f>
        <v>376</v>
      </c>
      <c r="L269" s="136">
        <f t="shared" si="32"/>
        <v>31.553919999999998</v>
      </c>
      <c r="M269" s="76"/>
      <c r="N269" s="137">
        <f t="shared" si="29"/>
        <v>-8.3919999999999106E-2</v>
      </c>
      <c r="O269" s="79">
        <f t="shared" si="30"/>
        <v>-2.6525198938991764E-3</v>
      </c>
      <c r="Q269" s="126"/>
      <c r="R269" s="126"/>
      <c r="S269" s="126"/>
      <c r="T269" s="126"/>
      <c r="U269" s="126"/>
      <c r="V269" s="126"/>
      <c r="W269" s="126"/>
      <c r="X269" s="126"/>
      <c r="Y269" s="126"/>
      <c r="Z269" s="126"/>
      <c r="AA269" s="126"/>
      <c r="AB269" s="126"/>
      <c r="AC269" s="126"/>
    </row>
    <row r="270" spans="1:63" x14ac:dyDescent="0.3">
      <c r="B270" s="80" t="s">
        <v>37</v>
      </c>
      <c r="C270" s="73"/>
      <c r="D270" s="7" t="s">
        <v>24</v>
      </c>
      <c r="E270" s="73"/>
      <c r="F270" s="138">
        <v>0.79</v>
      </c>
      <c r="G270" s="74">
        <v>1</v>
      </c>
      <c r="H270" s="136">
        <f t="shared" si="31"/>
        <v>0.79</v>
      </c>
      <c r="I270" s="76"/>
      <c r="J270" s="138">
        <v>0.79</v>
      </c>
      <c r="K270" s="81">
        <v>1</v>
      </c>
      <c r="L270" s="136">
        <f t="shared" si="32"/>
        <v>0.79</v>
      </c>
      <c r="M270" s="76"/>
      <c r="N270" s="137">
        <f t="shared" si="29"/>
        <v>0</v>
      </c>
      <c r="O270" s="79"/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  <c r="AA270" s="126"/>
      <c r="AB270" s="126"/>
      <c r="AC270" s="126"/>
    </row>
    <row r="271" spans="1:63" s="4" customFormat="1" x14ac:dyDescent="0.3">
      <c r="A271" s="60"/>
      <c r="B271" s="19" t="s">
        <v>38</v>
      </c>
      <c r="C271" s="20"/>
      <c r="D271" s="20"/>
      <c r="E271" s="20"/>
      <c r="F271" s="21"/>
      <c r="G271" s="22"/>
      <c r="H271" s="23">
        <f>SUM(H264:H270)+H263</f>
        <v>235.62783999999999</v>
      </c>
      <c r="I271" s="13"/>
      <c r="J271" s="22"/>
      <c r="K271" s="24"/>
      <c r="L271" s="23">
        <f>SUM(L264:L270)+L263</f>
        <v>217.32392000000002</v>
      </c>
      <c r="M271" s="13"/>
      <c r="N271" s="15">
        <f t="shared" si="29"/>
        <v>-18.303919999999977</v>
      </c>
      <c r="O271" s="16">
        <f t="shared" ref="O271:O283" si="33">IF((H271)=0,"",(N271/H271))</f>
        <v>-7.7681482799315971E-2</v>
      </c>
      <c r="P271" s="60"/>
      <c r="Q271" s="126"/>
      <c r="R271" s="126"/>
      <c r="S271" s="126"/>
      <c r="T271" s="126"/>
      <c r="U271" s="126"/>
      <c r="V271" s="126"/>
      <c r="W271" s="126"/>
      <c r="X271" s="126"/>
      <c r="Y271" s="126"/>
      <c r="Z271" s="126"/>
      <c r="AA271" s="126"/>
      <c r="AB271" s="126"/>
      <c r="AC271" s="126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60"/>
      <c r="BC271" s="60"/>
      <c r="BD271" s="60"/>
      <c r="BE271" s="60"/>
      <c r="BF271" s="60"/>
      <c r="BG271" s="60"/>
      <c r="BH271" s="60"/>
      <c r="BI271" s="60"/>
      <c r="BJ271" s="60"/>
      <c r="BK271" s="60"/>
    </row>
    <row r="272" spans="1:63" x14ac:dyDescent="0.3">
      <c r="B272" s="76" t="s">
        <v>39</v>
      </c>
      <c r="C272" s="76"/>
      <c r="D272" s="25" t="s">
        <v>27</v>
      </c>
      <c r="E272" s="76"/>
      <c r="F272" s="135">
        <v>7.4000000000000003E-3</v>
      </c>
      <c r="G272" s="18">
        <f>F242*(1+F298)</f>
        <v>10377</v>
      </c>
      <c r="H272" s="136">
        <f>G272*F272</f>
        <v>76.7898</v>
      </c>
      <c r="I272" s="76"/>
      <c r="J272" s="135">
        <f>+$J$48</f>
        <v>7.3000000000000001E-3</v>
      </c>
      <c r="K272" s="18">
        <f>F242*(1+J298)</f>
        <v>10376</v>
      </c>
      <c r="L272" s="136">
        <f>K272*J272</f>
        <v>75.744799999999998</v>
      </c>
      <c r="M272" s="76"/>
      <c r="N272" s="136">
        <f t="shared" si="29"/>
        <v>-1.0450000000000017</v>
      </c>
      <c r="O272" s="79">
        <f t="shared" si="33"/>
        <v>-1.3608578222628549E-2</v>
      </c>
      <c r="Q272" s="126"/>
      <c r="R272" s="126"/>
      <c r="S272" s="126"/>
      <c r="T272" s="126"/>
      <c r="U272" s="126"/>
      <c r="V272" s="126"/>
      <c r="W272" s="126"/>
      <c r="X272" s="126"/>
      <c r="Y272" s="126"/>
      <c r="Z272" s="126"/>
      <c r="AA272" s="126"/>
      <c r="AB272" s="126"/>
      <c r="AC272" s="126"/>
    </row>
    <row r="273" spans="1:63" x14ac:dyDescent="0.3">
      <c r="B273" s="85" t="s">
        <v>40</v>
      </c>
      <c r="C273" s="76"/>
      <c r="D273" s="25" t="s">
        <v>27</v>
      </c>
      <c r="E273" s="76"/>
      <c r="F273" s="135">
        <v>5.0000000000000001E-3</v>
      </c>
      <c r="G273" s="18">
        <f>G272</f>
        <v>10377</v>
      </c>
      <c r="H273" s="136">
        <f>G273*F273</f>
        <v>51.884999999999998</v>
      </c>
      <c r="I273" s="76"/>
      <c r="J273" s="135">
        <f>+$J$49</f>
        <v>4.7999999999999996E-3</v>
      </c>
      <c r="K273" s="18">
        <f>K272</f>
        <v>10376</v>
      </c>
      <c r="L273" s="136">
        <f>K273*J273</f>
        <v>49.804799999999993</v>
      </c>
      <c r="M273" s="76"/>
      <c r="N273" s="136">
        <f t="shared" si="29"/>
        <v>-2.0802000000000049</v>
      </c>
      <c r="O273" s="79">
        <f t="shared" si="33"/>
        <v>-4.0092512286788187E-2</v>
      </c>
      <c r="Q273" s="126"/>
      <c r="R273" s="126"/>
      <c r="S273" s="126"/>
      <c r="T273" s="126"/>
      <c r="U273" s="126"/>
      <c r="V273" s="126"/>
      <c r="W273" s="126"/>
      <c r="X273" s="126"/>
      <c r="Y273" s="126"/>
      <c r="Z273" s="126"/>
      <c r="AA273" s="126"/>
      <c r="AB273" s="126"/>
      <c r="AC273" s="126"/>
    </row>
    <row r="274" spans="1:63" s="4" customFormat="1" x14ac:dyDescent="0.3">
      <c r="A274" s="60"/>
      <c r="B274" s="19" t="s">
        <v>41</v>
      </c>
      <c r="C274" s="20"/>
      <c r="D274" s="20"/>
      <c r="E274" s="20"/>
      <c r="F274" s="21"/>
      <c r="G274" s="22"/>
      <c r="H274" s="23">
        <f>SUM(H271:H273)</f>
        <v>364.30264</v>
      </c>
      <c r="I274" s="13"/>
      <c r="J274" s="26"/>
      <c r="K274" s="22"/>
      <c r="L274" s="23">
        <f>SUM(L271:L273)</f>
        <v>342.87351999999998</v>
      </c>
      <c r="M274" s="13"/>
      <c r="N274" s="15">
        <f t="shared" si="29"/>
        <v>-21.429120000000012</v>
      </c>
      <c r="O274" s="16">
        <f t="shared" si="33"/>
        <v>-5.8822302248482228E-2</v>
      </c>
      <c r="P274" s="60"/>
      <c r="Q274" s="126"/>
      <c r="R274" s="126"/>
      <c r="S274" s="126"/>
      <c r="T274" s="126"/>
      <c r="U274" s="126"/>
      <c r="V274" s="126"/>
      <c r="W274" s="126"/>
      <c r="X274" s="126"/>
      <c r="Y274" s="126"/>
      <c r="Z274" s="126"/>
      <c r="AA274" s="126"/>
      <c r="AB274" s="126"/>
      <c r="AC274" s="126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  <c r="BD274" s="60"/>
      <c r="BE274" s="60"/>
      <c r="BF274" s="60"/>
      <c r="BG274" s="60"/>
      <c r="BH274" s="60"/>
      <c r="BI274" s="60"/>
      <c r="BJ274" s="60"/>
      <c r="BK274" s="60"/>
    </row>
    <row r="275" spans="1:63" x14ac:dyDescent="0.3">
      <c r="B275" s="86" t="s">
        <v>42</v>
      </c>
      <c r="C275" s="73"/>
      <c r="D275" s="7" t="s">
        <v>27</v>
      </c>
      <c r="E275" s="73"/>
      <c r="F275" s="135">
        <v>4.4000000000000003E-3</v>
      </c>
      <c r="G275" s="18">
        <f>G273</f>
        <v>10377</v>
      </c>
      <c r="H275" s="139">
        <f t="shared" ref="H275:H283" si="34">G275*F275</f>
        <v>45.658799999999999</v>
      </c>
      <c r="I275" s="76"/>
      <c r="J275" s="135">
        <f>+F275</f>
        <v>4.4000000000000003E-3</v>
      </c>
      <c r="K275" s="18">
        <f>K273</f>
        <v>10376</v>
      </c>
      <c r="L275" s="139">
        <f t="shared" ref="L275:L283" si="35">K275*J275</f>
        <v>45.654400000000003</v>
      </c>
      <c r="M275" s="76"/>
      <c r="N275" s="137">
        <f t="shared" si="29"/>
        <v>-4.3999999999968509E-3</v>
      </c>
      <c r="O275" s="87">
        <f t="shared" si="33"/>
        <v>-9.6366965404190446E-5</v>
      </c>
      <c r="Q275" s="126"/>
      <c r="R275" s="126"/>
      <c r="S275" s="126"/>
      <c r="T275" s="126"/>
      <c r="U275" s="126"/>
      <c r="V275" s="126"/>
      <c r="W275" s="126"/>
      <c r="X275" s="126"/>
      <c r="Y275" s="126"/>
      <c r="Z275" s="126"/>
      <c r="AA275" s="126"/>
      <c r="AB275" s="126"/>
      <c r="AC275" s="126"/>
    </row>
    <row r="276" spans="1:63" x14ac:dyDescent="0.3">
      <c r="B276" s="86" t="s">
        <v>43</v>
      </c>
      <c r="C276" s="73"/>
      <c r="D276" s="7" t="s">
        <v>27</v>
      </c>
      <c r="E276" s="73"/>
      <c r="F276" s="135">
        <v>1.1999999999999999E-3</v>
      </c>
      <c r="G276" s="18">
        <f>G273</f>
        <v>10377</v>
      </c>
      <c r="H276" s="139">
        <f t="shared" si="34"/>
        <v>12.452399999999999</v>
      </c>
      <c r="I276" s="76"/>
      <c r="J276" s="135">
        <v>1.2999999999999999E-3</v>
      </c>
      <c r="K276" s="18">
        <f>K273</f>
        <v>10376</v>
      </c>
      <c r="L276" s="139">
        <f t="shared" si="35"/>
        <v>13.488799999999999</v>
      </c>
      <c r="M276" s="76"/>
      <c r="N276" s="137">
        <f t="shared" si="29"/>
        <v>1.0364000000000004</v>
      </c>
      <c r="O276" s="87">
        <f t="shared" si="33"/>
        <v>8.3228935787478767E-2</v>
      </c>
      <c r="Q276" s="126"/>
      <c r="R276" s="126"/>
      <c r="S276" s="126"/>
      <c r="T276" s="126"/>
      <c r="U276" s="126"/>
      <c r="V276" s="126"/>
      <c r="W276" s="126"/>
      <c r="X276" s="126"/>
      <c r="Y276" s="126"/>
      <c r="Z276" s="126"/>
      <c r="AA276" s="126"/>
      <c r="AB276" s="126"/>
      <c r="AC276" s="126"/>
    </row>
    <row r="277" spans="1:63" x14ac:dyDescent="0.3">
      <c r="B277" s="73" t="s">
        <v>44</v>
      </c>
      <c r="C277" s="73"/>
      <c r="D277" s="7" t="s">
        <v>24</v>
      </c>
      <c r="E277" s="73"/>
      <c r="F277" s="135">
        <v>0.25</v>
      </c>
      <c r="G277" s="81">
        <v>1</v>
      </c>
      <c r="H277" s="139">
        <f t="shared" si="34"/>
        <v>0.25</v>
      </c>
      <c r="I277" s="76"/>
      <c r="J277" s="135">
        <f>+F277</f>
        <v>0.25</v>
      </c>
      <c r="K277" s="77">
        <v>1</v>
      </c>
      <c r="L277" s="139">
        <f t="shared" si="35"/>
        <v>0.25</v>
      </c>
      <c r="M277" s="76"/>
      <c r="N277" s="137">
        <f t="shared" si="29"/>
        <v>0</v>
      </c>
      <c r="O277" s="87">
        <f t="shared" si="33"/>
        <v>0</v>
      </c>
      <c r="Q277" s="126"/>
      <c r="R277" s="126"/>
      <c r="S277" s="126"/>
      <c r="T277" s="126"/>
      <c r="U277" s="126"/>
      <c r="V277" s="126"/>
      <c r="W277" s="126"/>
      <c r="X277" s="126"/>
      <c r="Y277" s="126"/>
      <c r="Z277" s="126"/>
      <c r="AA277" s="126"/>
      <c r="AB277" s="126"/>
      <c r="AC277" s="126"/>
    </row>
    <row r="278" spans="1:63" x14ac:dyDescent="0.3">
      <c r="B278" s="73" t="s">
        <v>45</v>
      </c>
      <c r="C278" s="73"/>
      <c r="D278" s="7" t="s">
        <v>27</v>
      </c>
      <c r="E278" s="73"/>
      <c r="F278" s="135">
        <v>7.0000000000000001E-3</v>
      </c>
      <c r="G278" s="84">
        <f>F242</f>
        <v>10000</v>
      </c>
      <c r="H278" s="139">
        <f t="shared" si="34"/>
        <v>70</v>
      </c>
      <c r="I278" s="76"/>
      <c r="J278" s="135">
        <f>+F278</f>
        <v>7.0000000000000001E-3</v>
      </c>
      <c r="K278" s="77">
        <f>F242</f>
        <v>10000</v>
      </c>
      <c r="L278" s="139">
        <f t="shared" si="35"/>
        <v>70</v>
      </c>
      <c r="M278" s="76"/>
      <c r="N278" s="137">
        <f t="shared" si="29"/>
        <v>0</v>
      </c>
      <c r="O278" s="87">
        <f t="shared" si="33"/>
        <v>0</v>
      </c>
      <c r="Q278" s="126"/>
      <c r="R278" s="126"/>
      <c r="S278" s="126"/>
      <c r="T278" s="126"/>
      <c r="U278" s="126"/>
      <c r="V278" s="126"/>
      <c r="W278" s="126"/>
      <c r="X278" s="126"/>
      <c r="Y278" s="126"/>
      <c r="Z278" s="126"/>
      <c r="AA278" s="126"/>
      <c r="AB278" s="126"/>
      <c r="AC278" s="126"/>
    </row>
    <row r="279" spans="1:63" x14ac:dyDescent="0.3">
      <c r="B279" s="80" t="s">
        <v>46</v>
      </c>
      <c r="C279" s="73"/>
      <c r="D279" s="7" t="s">
        <v>27</v>
      </c>
      <c r="E279" s="73"/>
      <c r="F279" s="138">
        <v>6.7000000000000004E-2</v>
      </c>
      <c r="G279" s="27">
        <f>0.64*$F242</f>
        <v>6400</v>
      </c>
      <c r="H279" s="139">
        <f t="shared" si="34"/>
        <v>428.8</v>
      </c>
      <c r="I279" s="76"/>
      <c r="J279" s="138">
        <v>6.7000000000000004E-2</v>
      </c>
      <c r="K279" s="28">
        <f>G279</f>
        <v>6400</v>
      </c>
      <c r="L279" s="139">
        <f t="shared" si="35"/>
        <v>428.8</v>
      </c>
      <c r="M279" s="76"/>
      <c r="N279" s="137">
        <f t="shared" si="29"/>
        <v>0</v>
      </c>
      <c r="O279" s="87">
        <f t="shared" si="33"/>
        <v>0</v>
      </c>
      <c r="Q279" s="126"/>
      <c r="R279" s="126"/>
      <c r="S279" s="127"/>
      <c r="T279" s="126"/>
      <c r="U279" s="126"/>
      <c r="V279" s="126"/>
      <c r="W279" s="126"/>
      <c r="X279" s="126"/>
      <c r="Y279" s="126"/>
      <c r="Z279" s="126"/>
      <c r="AA279" s="126"/>
      <c r="AB279" s="126"/>
      <c r="AC279" s="126"/>
    </row>
    <row r="280" spans="1:63" x14ac:dyDescent="0.3">
      <c r="B280" s="80" t="s">
        <v>47</v>
      </c>
      <c r="C280" s="73"/>
      <c r="D280" s="7" t="s">
        <v>27</v>
      </c>
      <c r="E280" s="73"/>
      <c r="F280" s="138">
        <v>0.104</v>
      </c>
      <c r="G280" s="27">
        <f>0.18*$F242</f>
        <v>1800</v>
      </c>
      <c r="H280" s="139">
        <f t="shared" si="34"/>
        <v>187.2</v>
      </c>
      <c r="I280" s="76"/>
      <c r="J280" s="138">
        <v>0.104</v>
      </c>
      <c r="K280" s="28">
        <f>G280</f>
        <v>1800</v>
      </c>
      <c r="L280" s="139">
        <f t="shared" si="35"/>
        <v>187.2</v>
      </c>
      <c r="M280" s="76"/>
      <c r="N280" s="137">
        <f t="shared" si="29"/>
        <v>0</v>
      </c>
      <c r="O280" s="87">
        <f t="shared" si="33"/>
        <v>0</v>
      </c>
      <c r="Q280" s="126"/>
      <c r="R280" s="126"/>
      <c r="S280" s="127"/>
      <c r="T280" s="126"/>
      <c r="U280" s="126"/>
      <c r="V280" s="126"/>
      <c r="W280" s="126"/>
      <c r="X280" s="126"/>
      <c r="Y280" s="126"/>
      <c r="Z280" s="126"/>
      <c r="AA280" s="126"/>
      <c r="AB280" s="126"/>
      <c r="AC280" s="126"/>
    </row>
    <row r="281" spans="1:63" x14ac:dyDescent="0.3">
      <c r="B281" s="64" t="s">
        <v>48</v>
      </c>
      <c r="C281" s="73"/>
      <c r="D281" s="7" t="s">
        <v>27</v>
      </c>
      <c r="E281" s="73"/>
      <c r="F281" s="138">
        <v>0.124</v>
      </c>
      <c r="G281" s="27">
        <f>0.18*$F242</f>
        <v>1800</v>
      </c>
      <c r="H281" s="139">
        <f t="shared" si="34"/>
        <v>223.2</v>
      </c>
      <c r="I281" s="76"/>
      <c r="J281" s="138">
        <v>0.124</v>
      </c>
      <c r="K281" s="28">
        <f>G281</f>
        <v>1800</v>
      </c>
      <c r="L281" s="139">
        <f t="shared" si="35"/>
        <v>223.2</v>
      </c>
      <c r="M281" s="76"/>
      <c r="N281" s="137">
        <f t="shared" si="29"/>
        <v>0</v>
      </c>
      <c r="O281" s="87">
        <f t="shared" si="33"/>
        <v>0</v>
      </c>
      <c r="Q281" s="126"/>
      <c r="R281" s="126"/>
      <c r="S281" s="127"/>
      <c r="T281" s="126"/>
      <c r="U281" s="126"/>
      <c r="V281" s="126"/>
      <c r="W281" s="126"/>
      <c r="X281" s="126"/>
      <c r="Y281" s="126"/>
      <c r="Z281" s="126"/>
      <c r="AA281" s="126"/>
      <c r="AB281" s="126"/>
      <c r="AC281" s="126"/>
    </row>
    <row r="282" spans="1:63" s="92" customFormat="1" x14ac:dyDescent="0.25">
      <c r="B282" s="89" t="s">
        <v>49</v>
      </c>
      <c r="C282" s="90"/>
      <c r="D282" s="29" t="s">
        <v>27</v>
      </c>
      <c r="E282" s="90"/>
      <c r="F282" s="138">
        <v>7.4999999999999997E-2</v>
      </c>
      <c r="G282" s="30">
        <f>IF(AND($T$1=1, F242&gt;=750), 750, IF(AND($T$1=1, AND(F242&lt;750, F242&gt;=0)), F242, IF(AND($T$1=2, F242&gt;=750), 750, IF(AND($T$1=2, AND(F242&lt;750, F242&gt;=0)), F242))))</f>
        <v>750</v>
      </c>
      <c r="H282" s="139">
        <f t="shared" si="34"/>
        <v>56.25</v>
      </c>
      <c r="I282" s="91"/>
      <c r="J282" s="138">
        <v>7.4999999999999997E-2</v>
      </c>
      <c r="K282" s="31">
        <f>G282</f>
        <v>750</v>
      </c>
      <c r="L282" s="139">
        <f t="shared" si="35"/>
        <v>56.25</v>
      </c>
      <c r="M282" s="91"/>
      <c r="N282" s="140">
        <f t="shared" si="29"/>
        <v>0</v>
      </c>
      <c r="O282" s="87">
        <f t="shared" si="33"/>
        <v>0</v>
      </c>
      <c r="Q282" s="128"/>
      <c r="R282" s="128"/>
      <c r="S282" s="128"/>
      <c r="T282" s="128"/>
      <c r="U282" s="128"/>
      <c r="V282" s="128"/>
      <c r="W282" s="128"/>
      <c r="X282" s="128"/>
      <c r="Y282" s="128"/>
      <c r="Z282" s="128"/>
      <c r="AA282" s="128"/>
      <c r="AB282" s="128"/>
      <c r="AC282" s="128"/>
    </row>
    <row r="283" spans="1:63" s="92" customFormat="1" ht="15" thickBot="1" x14ac:dyDescent="0.3">
      <c r="B283" s="89" t="s">
        <v>50</v>
      </c>
      <c r="C283" s="90"/>
      <c r="D283" s="29" t="s">
        <v>27</v>
      </c>
      <c r="E283" s="90"/>
      <c r="F283" s="138">
        <v>8.7999999999999995E-2</v>
      </c>
      <c r="G283" s="30">
        <f>IF(AND($T$1=1, F242&gt;=750), F242-750, IF(AND($T$1=1, AND(F242&lt;750, F242&gt;=0)), 0, IF(AND($T$1=2, F242&gt;=750), F242-750, IF(AND($T$1=2, AND(F242&lt;750, F242&gt;=0)), 0))))</f>
        <v>9250</v>
      </c>
      <c r="H283" s="139">
        <f t="shared" si="34"/>
        <v>814</v>
      </c>
      <c r="I283" s="91"/>
      <c r="J283" s="138">
        <v>8.7999999999999995E-2</v>
      </c>
      <c r="K283" s="31">
        <f>G283</f>
        <v>9250</v>
      </c>
      <c r="L283" s="139">
        <f t="shared" si="35"/>
        <v>814</v>
      </c>
      <c r="M283" s="91"/>
      <c r="N283" s="140">
        <f t="shared" si="29"/>
        <v>0</v>
      </c>
      <c r="O283" s="87">
        <f t="shared" si="33"/>
        <v>0</v>
      </c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  <c r="AA283" s="128"/>
      <c r="AB283" s="128"/>
      <c r="AC283" s="128"/>
    </row>
    <row r="284" spans="1:63" s="4" customFormat="1" ht="15" thickBot="1" x14ac:dyDescent="0.35">
      <c r="A284" s="60"/>
      <c r="B284" s="32"/>
      <c r="C284" s="33"/>
      <c r="D284" s="124"/>
      <c r="E284" s="33"/>
      <c r="F284" s="35"/>
      <c r="G284" s="36"/>
      <c r="H284" s="122"/>
      <c r="I284" s="123"/>
      <c r="J284" s="35"/>
      <c r="K284" s="39"/>
      <c r="L284" s="122"/>
      <c r="M284" s="123"/>
      <c r="N284" s="40"/>
      <c r="O284" s="41"/>
      <c r="P284" s="60"/>
      <c r="Q284" s="126"/>
      <c r="R284" s="126"/>
      <c r="S284" s="126"/>
      <c r="T284" s="126"/>
      <c r="U284" s="126"/>
      <c r="V284" s="126"/>
      <c r="W284" s="126"/>
      <c r="X284" s="126"/>
      <c r="Y284" s="126"/>
      <c r="Z284" s="126"/>
      <c r="AA284" s="126"/>
      <c r="AB284" s="126"/>
      <c r="AC284" s="126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T284" s="60"/>
      <c r="AU284" s="60"/>
      <c r="AV284" s="60"/>
      <c r="AW284" s="60"/>
      <c r="AX284" s="60"/>
      <c r="AY284" s="60"/>
      <c r="AZ284" s="60"/>
      <c r="BA284" s="60"/>
      <c r="BB284" s="60"/>
      <c r="BC284" s="60"/>
      <c r="BD284" s="60"/>
      <c r="BE284" s="60"/>
      <c r="BF284" s="60"/>
      <c r="BG284" s="60"/>
      <c r="BH284" s="60"/>
      <c r="BI284" s="60"/>
      <c r="BJ284" s="60"/>
      <c r="BK284" s="60"/>
    </row>
    <row r="285" spans="1:63" x14ac:dyDescent="0.3">
      <c r="B285" s="93" t="s">
        <v>51</v>
      </c>
      <c r="C285" s="73"/>
      <c r="D285" s="73"/>
      <c r="E285" s="73"/>
      <c r="F285" s="94"/>
      <c r="G285" s="95"/>
      <c r="H285" s="141">
        <f>SUM(H275:H281,H274)</f>
        <v>1331.86384</v>
      </c>
      <c r="I285" s="96"/>
      <c r="J285" s="97"/>
      <c r="K285" s="97"/>
      <c r="L285" s="144">
        <f>SUM(L275:L281,L274)</f>
        <v>1311.4667199999999</v>
      </c>
      <c r="M285" s="145"/>
      <c r="N285" s="146">
        <f>L285-H285</f>
        <v>-20.397120000000086</v>
      </c>
      <c r="O285" s="98">
        <f>IF((H285)=0,"",(N285/H285))</f>
        <v>-1.5314718657727119E-2</v>
      </c>
      <c r="Q285" s="126"/>
      <c r="R285" s="126"/>
      <c r="S285" s="127"/>
      <c r="T285" s="126"/>
      <c r="U285" s="126"/>
      <c r="V285" s="126"/>
      <c r="W285" s="126"/>
      <c r="X285" s="126"/>
      <c r="Y285" s="126"/>
      <c r="Z285" s="126"/>
      <c r="AA285" s="126"/>
      <c r="AB285" s="126"/>
      <c r="AC285" s="126"/>
    </row>
    <row r="286" spans="1:63" x14ac:dyDescent="0.3">
      <c r="B286" s="99" t="s">
        <v>52</v>
      </c>
      <c r="C286" s="73"/>
      <c r="D286" s="73"/>
      <c r="E286" s="73"/>
      <c r="F286" s="100">
        <v>0.13</v>
      </c>
      <c r="G286" s="101"/>
      <c r="H286" s="142">
        <f>H285*F286</f>
        <v>173.1422992</v>
      </c>
      <c r="I286" s="102"/>
      <c r="J286" s="103">
        <v>0.13</v>
      </c>
      <c r="K286" s="102"/>
      <c r="L286" s="147">
        <f>L285*J286</f>
        <v>170.49067359999998</v>
      </c>
      <c r="M286" s="148"/>
      <c r="N286" s="149">
        <f>L286-H286</f>
        <v>-2.6516256000000169</v>
      </c>
      <c r="O286" s="104">
        <f>IF((H286)=0,"",(N286/H286))</f>
        <v>-1.5314718657727152E-2</v>
      </c>
      <c r="Q286" s="126"/>
      <c r="R286" s="126"/>
      <c r="S286" s="127"/>
      <c r="T286" s="126"/>
      <c r="U286" s="126"/>
      <c r="V286" s="126"/>
      <c r="W286" s="126"/>
      <c r="X286" s="126"/>
      <c r="Y286" s="126"/>
      <c r="Z286" s="126"/>
      <c r="AA286" s="126"/>
      <c r="AB286" s="126"/>
      <c r="AC286" s="126"/>
    </row>
    <row r="287" spans="1:63" x14ac:dyDescent="0.3">
      <c r="B287" s="105" t="s">
        <v>53</v>
      </c>
      <c r="C287" s="73"/>
      <c r="D287" s="73"/>
      <c r="E287" s="73"/>
      <c r="F287" s="106"/>
      <c r="G287" s="101"/>
      <c r="H287" s="142">
        <f>H285+H286</f>
        <v>1505.0061392</v>
      </c>
      <c r="I287" s="102"/>
      <c r="J287" s="102"/>
      <c r="K287" s="102"/>
      <c r="L287" s="147">
        <f>L285+L286</f>
        <v>1481.9573935999999</v>
      </c>
      <c r="M287" s="148"/>
      <c r="N287" s="149">
        <f>L287-H287</f>
        <v>-23.048745600000075</v>
      </c>
      <c r="O287" s="104">
        <f>IF((H287)=0,"",(N287/H287))</f>
        <v>-1.5314718657727103E-2</v>
      </c>
      <c r="Q287" s="126"/>
      <c r="R287" s="126"/>
      <c r="S287" s="127"/>
      <c r="T287" s="126"/>
      <c r="U287" s="126"/>
      <c r="V287" s="126"/>
      <c r="W287" s="126"/>
      <c r="X287" s="126"/>
      <c r="Y287" s="126"/>
      <c r="Z287" s="126"/>
      <c r="AA287" s="126"/>
      <c r="AB287" s="126"/>
      <c r="AC287" s="126"/>
    </row>
    <row r="288" spans="1:63" ht="14.4" customHeight="1" x14ac:dyDescent="0.3">
      <c r="B288" s="172" t="s">
        <v>54</v>
      </c>
      <c r="C288" s="172"/>
      <c r="D288" s="172"/>
      <c r="E288" s="73"/>
      <c r="F288" s="106"/>
      <c r="G288" s="101"/>
      <c r="H288" s="143">
        <f>ROUND(-H287*10%,2)</f>
        <v>-150.5</v>
      </c>
      <c r="I288" s="102"/>
      <c r="J288" s="102"/>
      <c r="K288" s="102"/>
      <c r="L288" s="150">
        <f>ROUND(-L287*10%,2)</f>
        <v>-148.19999999999999</v>
      </c>
      <c r="M288" s="148"/>
      <c r="N288" s="151">
        <f>L288-H288</f>
        <v>2.3000000000000114</v>
      </c>
      <c r="O288" s="107">
        <f>IF((H288)=0,"",(N288/H288))</f>
        <v>-1.5282392026578148E-2</v>
      </c>
      <c r="Q288" s="126"/>
      <c r="R288" s="126"/>
      <c r="S288" s="126"/>
      <c r="T288" s="126"/>
      <c r="U288" s="126"/>
      <c r="V288" s="126"/>
      <c r="W288" s="126"/>
      <c r="X288" s="126"/>
      <c r="Y288" s="126"/>
      <c r="Z288" s="126"/>
      <c r="AA288" s="126"/>
      <c r="AB288" s="126"/>
      <c r="AC288" s="126"/>
    </row>
    <row r="289" spans="1:63" s="4" customFormat="1" ht="15" thickBot="1" x14ac:dyDescent="0.35">
      <c r="A289" s="60"/>
      <c r="B289" s="173" t="s">
        <v>55</v>
      </c>
      <c r="C289" s="173"/>
      <c r="D289" s="173"/>
      <c r="E289" s="42"/>
      <c r="F289" s="43"/>
      <c r="G289" s="44"/>
      <c r="H289" s="45">
        <f>H287+H288</f>
        <v>1354.5061392</v>
      </c>
      <c r="I289" s="46"/>
      <c r="J289" s="46"/>
      <c r="K289" s="46"/>
      <c r="L289" s="47">
        <f>L287+L288</f>
        <v>1333.7573935999999</v>
      </c>
      <c r="M289" s="48"/>
      <c r="N289" s="49">
        <f>L289-H289</f>
        <v>-20.74874560000012</v>
      </c>
      <c r="O289" s="50">
        <f>IF((H289)=0,"",(N289/H289))</f>
        <v>-1.5318310489352798E-2</v>
      </c>
      <c r="P289" s="60"/>
      <c r="Q289" s="126"/>
      <c r="R289" s="126"/>
      <c r="S289" s="126"/>
      <c r="T289" s="126"/>
      <c r="U289" s="126"/>
      <c r="V289" s="126"/>
      <c r="W289" s="126"/>
      <c r="X289" s="126"/>
      <c r="Y289" s="126"/>
      <c r="Z289" s="126"/>
      <c r="AA289" s="126"/>
      <c r="AB289" s="126"/>
      <c r="AC289" s="126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  <c r="BC289" s="60"/>
      <c r="BD289" s="60"/>
      <c r="BE289" s="60"/>
      <c r="BF289" s="60"/>
      <c r="BG289" s="60"/>
      <c r="BH289" s="60"/>
      <c r="BI289" s="60"/>
      <c r="BJ289" s="60"/>
      <c r="BK289" s="60"/>
    </row>
    <row r="290" spans="1:63" s="4" customFormat="1" ht="15" thickBot="1" x14ac:dyDescent="0.35">
      <c r="A290" s="60"/>
      <c r="B290" s="32"/>
      <c r="C290" s="33"/>
      <c r="D290" s="34"/>
      <c r="E290" s="33"/>
      <c r="F290" s="35"/>
      <c r="G290" s="36"/>
      <c r="H290" s="37"/>
      <c r="I290" s="38"/>
      <c r="J290" s="35"/>
      <c r="K290" s="39"/>
      <c r="L290" s="37"/>
      <c r="M290" s="123"/>
      <c r="N290" s="40"/>
      <c r="O290" s="41"/>
      <c r="P290" s="60"/>
      <c r="Q290" s="126"/>
      <c r="R290" s="126"/>
      <c r="S290" s="126"/>
      <c r="T290" s="126"/>
      <c r="U290" s="126"/>
      <c r="V290" s="126"/>
      <c r="W290" s="126"/>
      <c r="X290" s="126"/>
      <c r="Y290" s="126"/>
      <c r="Z290" s="126"/>
      <c r="AA290" s="126"/>
      <c r="AB290" s="126"/>
      <c r="AC290" s="126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</row>
    <row r="291" spans="1:63" s="92" customFormat="1" ht="13.2" x14ac:dyDescent="0.25">
      <c r="B291" s="108" t="s">
        <v>56</v>
      </c>
      <c r="C291" s="90"/>
      <c r="D291" s="90"/>
      <c r="E291" s="90"/>
      <c r="F291" s="109"/>
      <c r="G291" s="110"/>
      <c r="H291" s="152">
        <f>SUM(H282:H283,H274,H275:H278)</f>
        <v>1362.9138399999997</v>
      </c>
      <c r="I291" s="111"/>
      <c r="J291" s="112"/>
      <c r="K291" s="112"/>
      <c r="L291" s="155">
        <f>SUM(L282:L283,L274,L275:L278)</f>
        <v>1342.5167200000001</v>
      </c>
      <c r="M291" s="156"/>
      <c r="N291" s="157">
        <f>L291-H291</f>
        <v>-20.397119999999632</v>
      </c>
      <c r="O291" s="98">
        <f>IF((H291)=0,"",(N291/H291))</f>
        <v>-1.4965817648457981E-2</v>
      </c>
      <c r="Q291" s="128"/>
      <c r="R291" s="128"/>
      <c r="S291" s="128"/>
      <c r="T291" s="128"/>
      <c r="U291" s="128"/>
      <c r="V291" s="128"/>
      <c r="W291" s="128"/>
      <c r="X291" s="128"/>
      <c r="Y291" s="128"/>
      <c r="Z291" s="128"/>
      <c r="AA291" s="128"/>
      <c r="AB291" s="128"/>
      <c r="AC291" s="128"/>
    </row>
    <row r="292" spans="1:63" s="92" customFormat="1" ht="13.2" x14ac:dyDescent="0.25">
      <c r="B292" s="113" t="s">
        <v>52</v>
      </c>
      <c r="C292" s="90"/>
      <c r="D292" s="90"/>
      <c r="E292" s="90"/>
      <c r="F292" s="114">
        <v>0.13</v>
      </c>
      <c r="G292" s="110"/>
      <c r="H292" s="153">
        <f>H291*F292</f>
        <v>177.17879919999996</v>
      </c>
      <c r="I292" s="115"/>
      <c r="J292" s="116">
        <v>0.13</v>
      </c>
      <c r="K292" s="117"/>
      <c r="L292" s="158">
        <f>L291*J292</f>
        <v>174.52717360000003</v>
      </c>
      <c r="M292" s="159"/>
      <c r="N292" s="160">
        <f>L292-H292</f>
        <v>-2.6516255999999316</v>
      </c>
      <c r="O292" s="104">
        <f>IF((H292)=0,"",(N292/H292))</f>
        <v>-1.4965817648457865E-2</v>
      </c>
      <c r="Q292" s="128"/>
      <c r="R292" s="128"/>
      <c r="S292" s="128"/>
      <c r="T292" s="128"/>
      <c r="U292" s="128"/>
      <c r="V292" s="128"/>
      <c r="W292" s="128"/>
      <c r="X292" s="128"/>
      <c r="Y292" s="128"/>
      <c r="Z292" s="128"/>
      <c r="AA292" s="128"/>
      <c r="AB292" s="128"/>
      <c r="AC292" s="128"/>
    </row>
    <row r="293" spans="1:63" s="92" customFormat="1" ht="13.2" x14ac:dyDescent="0.25">
      <c r="B293" s="118" t="s">
        <v>53</v>
      </c>
      <c r="C293" s="90"/>
      <c r="D293" s="90"/>
      <c r="E293" s="90"/>
      <c r="F293" s="119"/>
      <c r="G293" s="120"/>
      <c r="H293" s="153">
        <f>H291+H292</f>
        <v>1540.0926391999997</v>
      </c>
      <c r="I293" s="115"/>
      <c r="J293" s="115"/>
      <c r="K293" s="115"/>
      <c r="L293" s="158">
        <f>L291+L292</f>
        <v>1517.0438936</v>
      </c>
      <c r="M293" s="159"/>
      <c r="N293" s="160">
        <f>L293-H293</f>
        <v>-23.04874559999962</v>
      </c>
      <c r="O293" s="104">
        <f>IF((H293)=0,"",(N293/H293))</f>
        <v>-1.4965817648458004E-2</v>
      </c>
      <c r="Q293" s="128"/>
      <c r="R293" s="128"/>
      <c r="S293" s="128"/>
      <c r="T293" s="128"/>
      <c r="U293" s="128"/>
      <c r="V293" s="128"/>
      <c r="W293" s="128"/>
      <c r="X293" s="128"/>
      <c r="Y293" s="128"/>
      <c r="Z293" s="128"/>
      <c r="AA293" s="128"/>
      <c r="AB293" s="128"/>
      <c r="AC293" s="128"/>
    </row>
    <row r="294" spans="1:63" s="92" customFormat="1" ht="13.2" customHeight="1" x14ac:dyDescent="0.25">
      <c r="B294" s="174" t="s">
        <v>54</v>
      </c>
      <c r="C294" s="174"/>
      <c r="D294" s="174"/>
      <c r="E294" s="90"/>
      <c r="F294" s="119"/>
      <c r="G294" s="120"/>
      <c r="H294" s="154">
        <f>ROUND(-H293*10%,2)</f>
        <v>-154.01</v>
      </c>
      <c r="I294" s="115"/>
      <c r="J294" s="115"/>
      <c r="K294" s="115"/>
      <c r="L294" s="161">
        <f>ROUND(-L293*10%,2)</f>
        <v>-151.69999999999999</v>
      </c>
      <c r="M294" s="159"/>
      <c r="N294" s="162">
        <f>L294-H294</f>
        <v>2.3100000000000023</v>
      </c>
      <c r="O294" s="107">
        <f>IF((H294)=0,"",(N294/H294))</f>
        <v>-1.4999026037270323E-2</v>
      </c>
      <c r="Q294" s="128"/>
      <c r="R294" s="128"/>
      <c r="S294" s="128"/>
      <c r="T294" s="128"/>
      <c r="U294" s="128"/>
      <c r="V294" s="128"/>
      <c r="W294" s="128"/>
      <c r="X294" s="128"/>
      <c r="Y294" s="128"/>
      <c r="Z294" s="128"/>
      <c r="AA294" s="128"/>
      <c r="AB294" s="128"/>
      <c r="AC294" s="128"/>
    </row>
    <row r="295" spans="1:63" s="4" customFormat="1" ht="15" thickBot="1" x14ac:dyDescent="0.35">
      <c r="A295" s="60"/>
      <c r="B295" s="173" t="s">
        <v>57</v>
      </c>
      <c r="C295" s="173"/>
      <c r="D295" s="173"/>
      <c r="E295" s="42"/>
      <c r="F295" s="43"/>
      <c r="G295" s="44"/>
      <c r="H295" s="45">
        <f>SUM(H293:H294)</f>
        <v>1386.0826391999997</v>
      </c>
      <c r="I295" s="46"/>
      <c r="J295" s="46"/>
      <c r="K295" s="46"/>
      <c r="L295" s="47">
        <f>SUM(L293:L294)</f>
        <v>1365.3438936</v>
      </c>
      <c r="M295" s="48"/>
      <c r="N295" s="49">
        <f>L295-H295</f>
        <v>-20.738745599999675</v>
      </c>
      <c r="O295" s="50">
        <f>IF((H295)=0,"",(N295/H295))</f>
        <v>-1.4962127807884083E-2</v>
      </c>
      <c r="P295" s="60"/>
      <c r="Q295" s="126"/>
      <c r="R295" s="126"/>
      <c r="S295" s="126"/>
      <c r="T295" s="126"/>
      <c r="U295" s="126"/>
      <c r="V295" s="126"/>
      <c r="W295" s="126"/>
      <c r="X295" s="126"/>
      <c r="Y295" s="126"/>
      <c r="Z295" s="126"/>
      <c r="AA295" s="126"/>
      <c r="AB295" s="126"/>
      <c r="AC295" s="126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</row>
    <row r="296" spans="1:63" s="4" customFormat="1" ht="15" thickBot="1" x14ac:dyDescent="0.35">
      <c r="A296" s="60"/>
      <c r="B296" s="32"/>
      <c r="C296" s="33"/>
      <c r="D296" s="34"/>
      <c r="E296" s="33"/>
      <c r="F296" s="35"/>
      <c r="G296" s="36"/>
      <c r="H296" s="122"/>
      <c r="I296" s="123"/>
      <c r="J296" s="35"/>
      <c r="K296" s="39"/>
      <c r="L296" s="37"/>
      <c r="M296" s="123"/>
      <c r="N296" s="40"/>
      <c r="O296" s="41"/>
      <c r="P296" s="60"/>
      <c r="Q296" s="126"/>
      <c r="R296" s="126"/>
      <c r="S296" s="126"/>
      <c r="T296" s="126"/>
      <c r="U296" s="126"/>
      <c r="V296" s="126"/>
      <c r="W296" s="126"/>
      <c r="X296" s="126"/>
      <c r="Y296" s="126"/>
      <c r="Z296" s="126"/>
      <c r="AA296" s="126"/>
      <c r="AB296" s="126"/>
      <c r="AC296" s="126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</row>
    <row r="297" spans="1:63" x14ac:dyDescent="0.3">
      <c r="L297" s="88"/>
    </row>
    <row r="298" spans="1:63" x14ac:dyDescent="0.3">
      <c r="B298" s="65" t="s">
        <v>58</v>
      </c>
      <c r="F298" s="51">
        <v>3.7699999999999997E-2</v>
      </c>
      <c r="J298" s="51">
        <f>+Residential!$J$74</f>
        <v>3.7600000000000001E-2</v>
      </c>
    </row>
    <row r="300" spans="1:63" x14ac:dyDescent="0.3">
      <c r="L300" s="56"/>
      <c r="M300" s="56"/>
      <c r="N300" s="56"/>
      <c r="O300" s="56"/>
      <c r="P300" s="56"/>
    </row>
    <row r="301" spans="1:63" ht="16.2" x14ac:dyDescent="0.3">
      <c r="A301" s="121" t="s">
        <v>59</v>
      </c>
    </row>
    <row r="303" spans="1:63" x14ac:dyDescent="0.3">
      <c r="A303" s="60" t="s">
        <v>60</v>
      </c>
    </row>
    <row r="304" spans="1:63" x14ac:dyDescent="0.3">
      <c r="A304" s="60" t="s">
        <v>61</v>
      </c>
    </row>
    <row r="306" spans="2:29" x14ac:dyDescent="0.3">
      <c r="B306" s="60" t="s">
        <v>62</v>
      </c>
    </row>
    <row r="309" spans="2:29" ht="18.75" customHeight="1" x14ac:dyDescent="0.3">
      <c r="B309" s="175" t="s">
        <v>6</v>
      </c>
      <c r="C309" s="175"/>
      <c r="D309" s="175"/>
      <c r="E309" s="175"/>
      <c r="F309" s="175"/>
      <c r="G309" s="175"/>
      <c r="H309" s="175"/>
      <c r="I309" s="175"/>
      <c r="J309" s="175"/>
      <c r="K309" s="175"/>
      <c r="L309" s="175"/>
      <c r="M309" s="175"/>
      <c r="N309" s="175"/>
      <c r="O309" s="175"/>
      <c r="P309" s="56"/>
    </row>
    <row r="310" spans="2:29" ht="19.2" customHeight="1" x14ac:dyDescent="0.3">
      <c r="B310" s="175" t="s">
        <v>7</v>
      </c>
      <c r="C310" s="175"/>
      <c r="D310" s="175"/>
      <c r="E310" s="175"/>
      <c r="F310" s="175"/>
      <c r="G310" s="175"/>
      <c r="H310" s="175"/>
      <c r="I310" s="175"/>
      <c r="J310" s="175"/>
      <c r="K310" s="175"/>
      <c r="L310" s="175"/>
      <c r="M310" s="175"/>
      <c r="N310" s="175"/>
      <c r="O310" s="175"/>
      <c r="P310" s="56"/>
    </row>
    <row r="311" spans="2:29" ht="7.5" customHeight="1" x14ac:dyDescent="0.3">
      <c r="L311" s="56"/>
      <c r="M311" s="56"/>
      <c r="N311" s="56"/>
      <c r="O311" s="56"/>
      <c r="P311" s="56"/>
    </row>
    <row r="312" spans="2:29" ht="7.5" customHeight="1" x14ac:dyDescent="0.3">
      <c r="L312" s="56"/>
      <c r="M312" s="56"/>
      <c r="N312" s="56"/>
      <c r="O312" s="56"/>
      <c r="P312" s="56"/>
    </row>
    <row r="313" spans="2:29" ht="15.6" x14ac:dyDescent="0.3">
      <c r="B313" s="61" t="s">
        <v>8</v>
      </c>
      <c r="D313" s="185" t="s">
        <v>65</v>
      </c>
      <c r="E313" s="185"/>
      <c r="F313" s="185"/>
      <c r="G313" s="185"/>
      <c r="H313" s="185"/>
      <c r="I313" s="185"/>
      <c r="J313" s="185"/>
      <c r="K313" s="185"/>
      <c r="L313" s="185"/>
      <c r="M313" s="185"/>
      <c r="N313" s="185"/>
      <c r="O313" s="185"/>
    </row>
    <row r="314" spans="2:29" ht="7.5" customHeight="1" x14ac:dyDescent="0.3">
      <c r="B314" s="62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</row>
    <row r="315" spans="2:29" ht="15.6" x14ac:dyDescent="0.3">
      <c r="B315" s="61" t="s">
        <v>9</v>
      </c>
      <c r="D315" s="5" t="s">
        <v>10</v>
      </c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</row>
    <row r="316" spans="2:29" ht="15.6" x14ac:dyDescent="0.3">
      <c r="B316" s="62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</row>
    <row r="317" spans="2:29" ht="15" customHeight="1" x14ac:dyDescent="0.3">
      <c r="B317" s="64"/>
      <c r="D317" s="65" t="s">
        <v>11</v>
      </c>
      <c r="E317" s="65"/>
      <c r="F317" s="6">
        <v>15000</v>
      </c>
      <c r="G317" s="65" t="s">
        <v>12</v>
      </c>
    </row>
    <row r="318" spans="2:29" x14ac:dyDescent="0.3">
      <c r="B318" s="64"/>
      <c r="G318" s="65"/>
    </row>
    <row r="319" spans="2:29" x14ac:dyDescent="0.3">
      <c r="B319" s="64"/>
      <c r="D319" s="66"/>
      <c r="E319" s="66"/>
      <c r="F319" s="176" t="s">
        <v>13</v>
      </c>
      <c r="G319" s="177"/>
      <c r="H319" s="178"/>
      <c r="J319" s="176" t="s">
        <v>14</v>
      </c>
      <c r="K319" s="177"/>
      <c r="L319" s="178"/>
      <c r="N319" s="176" t="s">
        <v>15</v>
      </c>
      <c r="O319" s="178"/>
      <c r="Q319" s="126"/>
      <c r="R319" s="126"/>
      <c r="S319" s="126"/>
      <c r="T319" s="126"/>
      <c r="U319" s="126"/>
      <c r="V319" s="126"/>
      <c r="W319" s="126"/>
      <c r="X319" s="126"/>
      <c r="Y319" s="126"/>
      <c r="Z319" s="126"/>
      <c r="AA319" s="126"/>
      <c r="AB319" s="126"/>
      <c r="AC319" s="126"/>
    </row>
    <row r="320" spans="2:29" x14ac:dyDescent="0.3">
      <c r="B320" s="64"/>
      <c r="D320" s="179" t="s">
        <v>16</v>
      </c>
      <c r="E320" s="67"/>
      <c r="F320" s="68" t="s">
        <v>17</v>
      </c>
      <c r="G320" s="68" t="s">
        <v>18</v>
      </c>
      <c r="H320" s="69" t="s">
        <v>19</v>
      </c>
      <c r="J320" s="68" t="s">
        <v>17</v>
      </c>
      <c r="K320" s="70" t="s">
        <v>18</v>
      </c>
      <c r="L320" s="69" t="s">
        <v>19</v>
      </c>
      <c r="N320" s="181" t="s">
        <v>20</v>
      </c>
      <c r="O320" s="183" t="s">
        <v>21</v>
      </c>
      <c r="Q320" s="126"/>
      <c r="R320" s="126"/>
      <c r="S320" s="126"/>
      <c r="T320" s="126"/>
      <c r="U320" s="126"/>
      <c r="V320" s="126"/>
      <c r="W320" s="126"/>
      <c r="X320" s="126"/>
      <c r="Y320" s="126"/>
      <c r="Z320" s="126"/>
      <c r="AA320" s="126"/>
      <c r="AB320" s="126"/>
      <c r="AC320" s="126"/>
    </row>
    <row r="321" spans="2:29" x14ac:dyDescent="0.3">
      <c r="B321" s="64"/>
      <c r="D321" s="180"/>
      <c r="E321" s="67"/>
      <c r="F321" s="71" t="s">
        <v>22</v>
      </c>
      <c r="G321" s="71"/>
      <c r="H321" s="72" t="s">
        <v>22</v>
      </c>
      <c r="J321" s="71" t="s">
        <v>22</v>
      </c>
      <c r="K321" s="72"/>
      <c r="L321" s="72" t="s">
        <v>22</v>
      </c>
      <c r="N321" s="182"/>
      <c r="O321" s="184"/>
      <c r="Q321" s="126"/>
      <c r="R321" s="126"/>
      <c r="S321" s="126"/>
      <c r="T321" s="126"/>
      <c r="U321" s="126"/>
      <c r="V321" s="126"/>
      <c r="W321" s="126"/>
      <c r="X321" s="126"/>
      <c r="Y321" s="126"/>
      <c r="Z321" s="126"/>
      <c r="AA321" s="126"/>
      <c r="AB321" s="126"/>
      <c r="AC321" s="126"/>
    </row>
    <row r="322" spans="2:29" x14ac:dyDescent="0.3">
      <c r="B322" s="73" t="s">
        <v>23</v>
      </c>
      <c r="C322" s="73"/>
      <c r="D322" s="7" t="s">
        <v>24</v>
      </c>
      <c r="E322" s="73"/>
      <c r="F322" s="129">
        <v>32.24</v>
      </c>
      <c r="G322" s="74">
        <v>1</v>
      </c>
      <c r="H322" s="75">
        <f t="shared" ref="H322:H337" si="36">G322*F322</f>
        <v>32.24</v>
      </c>
      <c r="I322" s="76"/>
      <c r="J322" s="129">
        <v>34.71</v>
      </c>
      <c r="K322" s="77">
        <v>1</v>
      </c>
      <c r="L322" s="75">
        <f t="shared" ref="L322:L337" si="37">K322*J322</f>
        <v>34.71</v>
      </c>
      <c r="M322" s="76"/>
      <c r="N322" s="78">
        <f t="shared" ref="N322:N358" si="38">L322-H322</f>
        <v>2.4699999999999989</v>
      </c>
      <c r="O322" s="79">
        <f t="shared" ref="O322:O344" si="39">IF((H322)=0,"",(N322/H322))</f>
        <v>7.6612903225806411E-2</v>
      </c>
      <c r="Q322" s="126"/>
      <c r="R322" s="126"/>
      <c r="S322" s="126"/>
      <c r="T322" s="126"/>
      <c r="U322" s="126"/>
      <c r="V322" s="126"/>
      <c r="W322" s="126"/>
      <c r="X322" s="126"/>
      <c r="Y322" s="126"/>
      <c r="Z322" s="126"/>
      <c r="AA322" s="126"/>
      <c r="AB322" s="126"/>
      <c r="AC322" s="126"/>
    </row>
    <row r="323" spans="2:29" x14ac:dyDescent="0.3">
      <c r="B323" s="73" t="s">
        <v>25</v>
      </c>
      <c r="C323" s="73"/>
      <c r="D323" s="7" t="s">
        <v>24</v>
      </c>
      <c r="E323" s="73"/>
      <c r="F323" s="133">
        <v>7.33</v>
      </c>
      <c r="G323" s="74">
        <v>1</v>
      </c>
      <c r="H323" s="136">
        <f t="shared" si="36"/>
        <v>7.33</v>
      </c>
      <c r="I323" s="76"/>
      <c r="J323" s="130"/>
      <c r="K323" s="77">
        <v>1</v>
      </c>
      <c r="L323" s="136">
        <f t="shared" si="37"/>
        <v>0</v>
      </c>
      <c r="M323" s="76"/>
      <c r="N323" s="137">
        <f t="shared" si="38"/>
        <v>-7.33</v>
      </c>
      <c r="O323" s="79">
        <f t="shared" si="39"/>
        <v>-1</v>
      </c>
      <c r="Q323" s="126"/>
      <c r="R323" s="126"/>
      <c r="S323" s="126"/>
      <c r="T323" s="126"/>
      <c r="U323" s="126"/>
      <c r="V323" s="126"/>
      <c r="W323" s="126"/>
      <c r="X323" s="126"/>
      <c r="Y323" s="126"/>
      <c r="Z323" s="126"/>
      <c r="AA323" s="126"/>
      <c r="AB323" s="126"/>
      <c r="AC323" s="126"/>
    </row>
    <row r="324" spans="2:29" x14ac:dyDescent="0.3">
      <c r="B324" s="9"/>
      <c r="C324" s="73"/>
      <c r="D324" s="7"/>
      <c r="E324" s="73"/>
      <c r="F324" s="134"/>
      <c r="G324" s="74">
        <v>1</v>
      </c>
      <c r="H324" s="136">
        <f t="shared" si="36"/>
        <v>0</v>
      </c>
      <c r="I324" s="76"/>
      <c r="J324" s="131"/>
      <c r="K324" s="77">
        <v>1</v>
      </c>
      <c r="L324" s="136">
        <f t="shared" si="37"/>
        <v>0</v>
      </c>
      <c r="M324" s="76"/>
      <c r="N324" s="137">
        <f t="shared" si="38"/>
        <v>0</v>
      </c>
      <c r="O324" s="79" t="str">
        <f t="shared" si="39"/>
        <v/>
      </c>
      <c r="Q324" s="126"/>
      <c r="R324" s="126"/>
      <c r="S324" s="126"/>
      <c r="T324" s="126"/>
      <c r="U324" s="126"/>
      <c r="V324" s="126"/>
      <c r="W324" s="126"/>
      <c r="X324" s="126"/>
      <c r="Y324" s="126"/>
      <c r="Z324" s="126"/>
      <c r="AA324" s="126"/>
      <c r="AB324" s="126"/>
      <c r="AC324" s="126"/>
    </row>
    <row r="325" spans="2:29" x14ac:dyDescent="0.3">
      <c r="B325" s="9"/>
      <c r="C325" s="73"/>
      <c r="D325" s="7"/>
      <c r="E325" s="73"/>
      <c r="F325" s="134"/>
      <c r="G325" s="74">
        <v>1</v>
      </c>
      <c r="H325" s="136">
        <f t="shared" si="36"/>
        <v>0</v>
      </c>
      <c r="I325" s="76"/>
      <c r="J325" s="131"/>
      <c r="K325" s="77">
        <v>1</v>
      </c>
      <c r="L325" s="136">
        <f t="shared" si="37"/>
        <v>0</v>
      </c>
      <c r="M325" s="76"/>
      <c r="N325" s="137">
        <f t="shared" si="38"/>
        <v>0</v>
      </c>
      <c r="O325" s="79" t="str">
        <f t="shared" si="39"/>
        <v/>
      </c>
      <c r="Q325" s="126"/>
      <c r="R325" s="126"/>
      <c r="S325" s="126"/>
      <c r="T325" s="126"/>
      <c r="U325" s="126"/>
      <c r="V325" s="126"/>
      <c r="W325" s="126"/>
      <c r="X325" s="126"/>
      <c r="Y325" s="126"/>
      <c r="Z325" s="126"/>
      <c r="AA325" s="126"/>
      <c r="AB325" s="126"/>
      <c r="AC325" s="126"/>
    </row>
    <row r="326" spans="2:29" x14ac:dyDescent="0.3">
      <c r="B326" s="10"/>
      <c r="C326" s="73"/>
      <c r="D326" s="7"/>
      <c r="E326" s="73"/>
      <c r="F326" s="134"/>
      <c r="G326" s="74">
        <v>1</v>
      </c>
      <c r="H326" s="136">
        <f t="shared" si="36"/>
        <v>0</v>
      </c>
      <c r="I326" s="76"/>
      <c r="J326" s="131"/>
      <c r="K326" s="77">
        <v>1</v>
      </c>
      <c r="L326" s="136">
        <f t="shared" si="37"/>
        <v>0</v>
      </c>
      <c r="M326" s="76"/>
      <c r="N326" s="137">
        <f t="shared" si="38"/>
        <v>0</v>
      </c>
      <c r="O326" s="79" t="str">
        <f t="shared" si="39"/>
        <v/>
      </c>
      <c r="Q326" s="126"/>
      <c r="R326" s="126"/>
      <c r="S326" s="126"/>
      <c r="T326" s="126"/>
      <c r="U326" s="126"/>
      <c r="V326" s="126"/>
      <c r="W326" s="126"/>
      <c r="X326" s="126"/>
      <c r="Y326" s="126"/>
      <c r="Z326" s="126"/>
      <c r="AA326" s="126"/>
      <c r="AB326" s="126"/>
      <c r="AC326" s="126"/>
    </row>
    <row r="327" spans="2:29" x14ac:dyDescent="0.3">
      <c r="B327" s="10"/>
      <c r="C327" s="73"/>
      <c r="D327" s="7"/>
      <c r="E327" s="73"/>
      <c r="F327" s="134"/>
      <c r="G327" s="74">
        <v>1</v>
      </c>
      <c r="H327" s="136">
        <f t="shared" si="36"/>
        <v>0</v>
      </c>
      <c r="I327" s="76"/>
      <c r="J327" s="131"/>
      <c r="K327" s="77">
        <v>1</v>
      </c>
      <c r="L327" s="136">
        <f t="shared" si="37"/>
        <v>0</v>
      </c>
      <c r="M327" s="76"/>
      <c r="N327" s="137">
        <f t="shared" si="38"/>
        <v>0</v>
      </c>
      <c r="O327" s="79" t="str">
        <f t="shared" si="39"/>
        <v/>
      </c>
      <c r="Q327" s="126"/>
      <c r="R327" s="126"/>
      <c r="S327" s="126"/>
      <c r="T327" s="126"/>
      <c r="U327" s="126"/>
      <c r="V327" s="126"/>
      <c r="W327" s="126"/>
      <c r="X327" s="126"/>
      <c r="Y327" s="126"/>
      <c r="Z327" s="126"/>
      <c r="AA327" s="126"/>
      <c r="AB327" s="126"/>
      <c r="AC327" s="126"/>
    </row>
    <row r="328" spans="2:29" x14ac:dyDescent="0.3">
      <c r="B328" s="73" t="s">
        <v>26</v>
      </c>
      <c r="C328" s="73"/>
      <c r="D328" s="7" t="s">
        <v>27</v>
      </c>
      <c r="E328" s="73"/>
      <c r="F328" s="135">
        <v>1.4200000000000001E-2</v>
      </c>
      <c r="G328" s="74">
        <f>$F317</f>
        <v>15000</v>
      </c>
      <c r="H328" s="136">
        <f t="shared" si="36"/>
        <v>213</v>
      </c>
      <c r="I328" s="76"/>
      <c r="J328" s="132">
        <v>1.5299999999999999E-2</v>
      </c>
      <c r="K328" s="74">
        <f>$F317</f>
        <v>15000</v>
      </c>
      <c r="L328" s="136">
        <f t="shared" si="37"/>
        <v>229.5</v>
      </c>
      <c r="M328" s="76"/>
      <c r="N328" s="137">
        <f t="shared" si="38"/>
        <v>16.5</v>
      </c>
      <c r="O328" s="79">
        <f t="shared" si="39"/>
        <v>7.746478873239436E-2</v>
      </c>
      <c r="Q328" s="126"/>
      <c r="R328" s="126"/>
      <c r="S328" s="126"/>
      <c r="T328" s="126"/>
      <c r="U328" s="126"/>
      <c r="V328" s="126"/>
      <c r="W328" s="126"/>
      <c r="X328" s="126"/>
      <c r="Y328" s="126"/>
      <c r="Z328" s="126"/>
      <c r="AA328" s="126"/>
      <c r="AB328" s="126"/>
      <c r="AC328" s="126"/>
    </row>
    <row r="329" spans="2:29" x14ac:dyDescent="0.3">
      <c r="B329" s="73" t="s">
        <v>28</v>
      </c>
      <c r="C329" s="73"/>
      <c r="D329" s="7" t="s">
        <v>24</v>
      </c>
      <c r="E329" s="73"/>
      <c r="F329" s="135">
        <v>4.63</v>
      </c>
      <c r="G329" s="74">
        <v>1</v>
      </c>
      <c r="H329" s="136">
        <f t="shared" si="36"/>
        <v>4.63</v>
      </c>
      <c r="I329" s="76"/>
      <c r="J329" s="132"/>
      <c r="K329" s="74">
        <v>1</v>
      </c>
      <c r="L329" s="136">
        <f t="shared" si="37"/>
        <v>0</v>
      </c>
      <c r="M329" s="76"/>
      <c r="N329" s="137">
        <f t="shared" si="38"/>
        <v>-4.63</v>
      </c>
      <c r="O329" s="79">
        <f t="shared" si="39"/>
        <v>-1</v>
      </c>
      <c r="Q329" s="126"/>
      <c r="R329" s="126"/>
      <c r="S329" s="126"/>
      <c r="T329" s="126"/>
      <c r="U329" s="126"/>
      <c r="V329" s="126"/>
      <c r="W329" s="126"/>
      <c r="X329" s="126"/>
      <c r="Y329" s="126"/>
      <c r="Z329" s="126"/>
      <c r="AA329" s="126"/>
      <c r="AB329" s="126"/>
      <c r="AC329" s="126"/>
    </row>
    <row r="330" spans="2:29" x14ac:dyDescent="0.3">
      <c r="B330" s="73" t="s">
        <v>29</v>
      </c>
      <c r="C330" s="73"/>
      <c r="D330" s="7" t="s">
        <v>27</v>
      </c>
      <c r="E330" s="73"/>
      <c r="F330" s="135">
        <v>0</v>
      </c>
      <c r="G330" s="74">
        <f>$F317</f>
        <v>15000</v>
      </c>
      <c r="H330" s="136">
        <f t="shared" si="36"/>
        <v>0</v>
      </c>
      <c r="I330" s="76"/>
      <c r="J330" s="171">
        <v>0</v>
      </c>
      <c r="K330" s="74">
        <f>$F317</f>
        <v>15000</v>
      </c>
      <c r="L330" s="136">
        <f t="shared" si="37"/>
        <v>0</v>
      </c>
      <c r="M330" s="76"/>
      <c r="N330" s="137">
        <f t="shared" si="38"/>
        <v>0</v>
      </c>
      <c r="O330" s="79" t="str">
        <f t="shared" si="39"/>
        <v/>
      </c>
      <c r="Q330" s="126"/>
      <c r="R330" s="126"/>
      <c r="S330" s="126"/>
      <c r="T330" s="126"/>
      <c r="U330" s="126"/>
      <c r="V330" s="126"/>
      <c r="W330" s="126"/>
      <c r="X330" s="126"/>
      <c r="Y330" s="126"/>
      <c r="Z330" s="126"/>
      <c r="AA330" s="126"/>
      <c r="AB330" s="126"/>
      <c r="AC330" s="126"/>
    </row>
    <row r="331" spans="2:29" x14ac:dyDescent="0.3">
      <c r="B331" s="11" t="s">
        <v>30</v>
      </c>
      <c r="C331" s="73"/>
      <c r="D331" s="7" t="s">
        <v>27</v>
      </c>
      <c r="E331" s="73"/>
      <c r="F331" s="135">
        <v>1.5E-3</v>
      </c>
      <c r="G331" s="74">
        <f>$F317</f>
        <v>15000</v>
      </c>
      <c r="H331" s="136">
        <f t="shared" si="36"/>
        <v>22.5</v>
      </c>
      <c r="I331" s="76"/>
      <c r="J331" s="132"/>
      <c r="K331" s="74">
        <f>$F317</f>
        <v>15000</v>
      </c>
      <c r="L331" s="136">
        <f t="shared" si="37"/>
        <v>0</v>
      </c>
      <c r="M331" s="76"/>
      <c r="N331" s="137">
        <f t="shared" si="38"/>
        <v>-22.5</v>
      </c>
      <c r="O331" s="79">
        <f t="shared" si="39"/>
        <v>-1</v>
      </c>
      <c r="Q331" s="126"/>
      <c r="R331" s="126"/>
      <c r="S331" s="126"/>
      <c r="T331" s="126"/>
      <c r="U331" s="126"/>
      <c r="V331" s="126"/>
      <c r="W331" s="126"/>
      <c r="X331" s="126"/>
      <c r="Y331" s="126"/>
      <c r="Z331" s="126"/>
      <c r="AA331" s="126"/>
      <c r="AB331" s="126"/>
      <c r="AC331" s="126"/>
    </row>
    <row r="332" spans="2:29" x14ac:dyDescent="0.3">
      <c r="B332" s="11" t="s">
        <v>31</v>
      </c>
      <c r="C332" s="73"/>
      <c r="D332" s="7" t="s">
        <v>27</v>
      </c>
      <c r="E332" s="73"/>
      <c r="F332" s="135">
        <v>-2.9999999999999997E-4</v>
      </c>
      <c r="G332" s="74">
        <f>$F317</f>
        <v>15000</v>
      </c>
      <c r="H332" s="136">
        <f t="shared" si="36"/>
        <v>-4.5</v>
      </c>
      <c r="I332" s="76"/>
      <c r="J332" s="132"/>
      <c r="K332" s="74">
        <f>$F317</f>
        <v>15000</v>
      </c>
      <c r="L332" s="136">
        <f t="shared" si="37"/>
        <v>0</v>
      </c>
      <c r="M332" s="76"/>
      <c r="N332" s="137">
        <f t="shared" si="38"/>
        <v>4.5</v>
      </c>
      <c r="O332" s="79">
        <f t="shared" si="39"/>
        <v>-1</v>
      </c>
      <c r="Q332" s="126"/>
      <c r="R332" s="126"/>
      <c r="S332" s="126"/>
      <c r="T332" s="126"/>
      <c r="U332" s="126"/>
      <c r="V332" s="126"/>
      <c r="W332" s="126"/>
      <c r="X332" s="126"/>
      <c r="Y332" s="126"/>
      <c r="Z332" s="126"/>
      <c r="AA332" s="126"/>
      <c r="AB332" s="126"/>
      <c r="AC332" s="126"/>
    </row>
    <row r="333" spans="2:29" x14ac:dyDescent="0.3">
      <c r="B333" s="11" t="s">
        <v>32</v>
      </c>
      <c r="C333" s="73"/>
      <c r="D333" s="7" t="s">
        <v>24</v>
      </c>
      <c r="E333" s="73"/>
      <c r="F333" s="135"/>
      <c r="G333" s="74">
        <v>1</v>
      </c>
      <c r="H333" s="136">
        <f t="shared" si="36"/>
        <v>0</v>
      </c>
      <c r="I333" s="76"/>
      <c r="J333" s="171">
        <v>2.27</v>
      </c>
      <c r="K333" s="74">
        <v>1</v>
      </c>
      <c r="L333" s="136">
        <f t="shared" si="37"/>
        <v>2.27</v>
      </c>
      <c r="M333" s="76"/>
      <c r="N333" s="137">
        <f t="shared" si="38"/>
        <v>2.27</v>
      </c>
      <c r="O333" s="79" t="str">
        <f t="shared" si="39"/>
        <v/>
      </c>
      <c r="Q333" s="126"/>
      <c r="R333" s="126"/>
      <c r="S333" s="126"/>
      <c r="T333" s="126"/>
      <c r="U333" s="126"/>
      <c r="V333" s="126"/>
      <c r="W333" s="126"/>
      <c r="X333" s="126"/>
      <c r="Y333" s="126"/>
      <c r="Z333" s="126"/>
      <c r="AA333" s="126"/>
      <c r="AB333" s="126"/>
      <c r="AC333" s="126"/>
    </row>
    <row r="334" spans="2:29" x14ac:dyDescent="0.3">
      <c r="B334" s="12" t="str">
        <f>+Residential!$B$35</f>
        <v>Rate Rider for Disposition of Account 1576</v>
      </c>
      <c r="C334" s="73"/>
      <c r="D334" s="7" t="s">
        <v>27</v>
      </c>
      <c r="E334" s="73"/>
      <c r="F334" s="134"/>
      <c r="G334" s="74">
        <f>$F317</f>
        <v>15000</v>
      </c>
      <c r="H334" s="136">
        <f t="shared" si="36"/>
        <v>0</v>
      </c>
      <c r="I334" s="76"/>
      <c r="J334" s="171">
        <v>-5.9999999999999995E-4</v>
      </c>
      <c r="K334" s="74">
        <f>$F317</f>
        <v>15000</v>
      </c>
      <c r="L334" s="136">
        <f t="shared" si="37"/>
        <v>-9</v>
      </c>
      <c r="M334" s="76"/>
      <c r="N334" s="137">
        <f t="shared" si="38"/>
        <v>-9</v>
      </c>
      <c r="O334" s="79" t="str">
        <f t="shared" si="39"/>
        <v/>
      </c>
      <c r="Q334" s="126"/>
      <c r="R334" s="126"/>
      <c r="S334" s="126"/>
      <c r="T334" s="126"/>
      <c r="U334" s="126"/>
      <c r="V334" s="126"/>
      <c r="W334" s="126"/>
      <c r="X334" s="126"/>
      <c r="Y334" s="126"/>
      <c r="Z334" s="126"/>
      <c r="AA334" s="126"/>
      <c r="AB334" s="126"/>
      <c r="AC334" s="126"/>
    </row>
    <row r="335" spans="2:29" x14ac:dyDescent="0.3">
      <c r="B335" s="12" t="str">
        <f>+Residential!$B$36</f>
        <v xml:space="preserve">Rate Rider for Disposition of CGAAP CWIP differential </v>
      </c>
      <c r="C335" s="73"/>
      <c r="D335" s="7" t="s">
        <v>27</v>
      </c>
      <c r="E335" s="73"/>
      <c r="F335" s="134"/>
      <c r="G335" s="74">
        <f>$F317</f>
        <v>15000</v>
      </c>
      <c r="H335" s="136">
        <f t="shared" si="36"/>
        <v>0</v>
      </c>
      <c r="I335" s="76"/>
      <c r="J335" s="171">
        <v>2.9999999999999997E-4</v>
      </c>
      <c r="K335" s="74">
        <f>$F317</f>
        <v>15000</v>
      </c>
      <c r="L335" s="136">
        <f t="shared" si="37"/>
        <v>4.5</v>
      </c>
      <c r="M335" s="76"/>
      <c r="N335" s="137">
        <f t="shared" si="38"/>
        <v>4.5</v>
      </c>
      <c r="O335" s="79" t="str">
        <f t="shared" si="39"/>
        <v/>
      </c>
      <c r="Q335" s="126"/>
      <c r="R335" s="126"/>
      <c r="S335" s="126"/>
      <c r="T335" s="126"/>
      <c r="U335" s="126"/>
      <c r="V335" s="126"/>
      <c r="W335" s="126"/>
      <c r="X335" s="126"/>
      <c r="Y335" s="126"/>
      <c r="Z335" s="126"/>
      <c r="AA335" s="126"/>
      <c r="AB335" s="126"/>
      <c r="AC335" s="126"/>
    </row>
    <row r="336" spans="2:29" x14ac:dyDescent="0.3">
      <c r="B336" s="12" t="str">
        <f>+Residential!$B$37</f>
        <v xml:space="preserve">Rate Rider for Disposition of Incremental Capital Expenditures </v>
      </c>
      <c r="C336" s="73"/>
      <c r="D336" s="7" t="s">
        <v>27</v>
      </c>
      <c r="E336" s="73"/>
      <c r="F336" s="131"/>
      <c r="G336" s="74">
        <f>$F317</f>
        <v>15000</v>
      </c>
      <c r="H336" s="136">
        <f t="shared" si="36"/>
        <v>0</v>
      </c>
      <c r="I336" s="76"/>
      <c r="J336" s="171">
        <v>2.0000000000000001E-4</v>
      </c>
      <c r="K336" s="74">
        <f>$F317</f>
        <v>15000</v>
      </c>
      <c r="L336" s="136">
        <f t="shared" si="37"/>
        <v>3</v>
      </c>
      <c r="M336" s="76"/>
      <c r="N336" s="137">
        <f t="shared" si="38"/>
        <v>3</v>
      </c>
      <c r="O336" s="79" t="str">
        <f t="shared" si="39"/>
        <v/>
      </c>
      <c r="Q336" s="126"/>
      <c r="R336" s="126"/>
      <c r="S336" s="126"/>
      <c r="T336" s="126"/>
      <c r="U336" s="126"/>
      <c r="V336" s="126"/>
      <c r="W336" s="126"/>
      <c r="X336" s="126"/>
      <c r="Y336" s="126"/>
      <c r="Z336" s="126"/>
      <c r="AA336" s="126"/>
      <c r="AB336" s="126"/>
      <c r="AC336" s="126"/>
    </row>
    <row r="337" spans="1:63" x14ac:dyDescent="0.3">
      <c r="B337" s="12"/>
      <c r="C337" s="73"/>
      <c r="D337" s="7"/>
      <c r="E337" s="73"/>
      <c r="F337" s="131"/>
      <c r="G337" s="74">
        <f>$F317</f>
        <v>15000</v>
      </c>
      <c r="H337" s="136">
        <f t="shared" si="36"/>
        <v>0</v>
      </c>
      <c r="I337" s="76"/>
      <c r="J337" s="131"/>
      <c r="K337" s="74">
        <f>$F317</f>
        <v>15000</v>
      </c>
      <c r="L337" s="136">
        <f t="shared" si="37"/>
        <v>0</v>
      </c>
      <c r="M337" s="76"/>
      <c r="N337" s="137">
        <f t="shared" si="38"/>
        <v>0</v>
      </c>
      <c r="O337" s="79" t="str">
        <f t="shared" si="39"/>
        <v/>
      </c>
      <c r="Q337" s="126"/>
      <c r="R337" s="126"/>
      <c r="S337" s="126"/>
      <c r="T337" s="126"/>
      <c r="U337" s="126"/>
      <c r="V337" s="126"/>
      <c r="W337" s="126"/>
      <c r="X337" s="126"/>
      <c r="Y337" s="126"/>
      <c r="Z337" s="126"/>
      <c r="AA337" s="126"/>
      <c r="AB337" s="126"/>
      <c r="AC337" s="126"/>
    </row>
    <row r="338" spans="1:63" s="4" customFormat="1" x14ac:dyDescent="0.3">
      <c r="A338" s="60"/>
      <c r="B338" s="19" t="s">
        <v>33</v>
      </c>
      <c r="C338" s="20"/>
      <c r="D338" s="20"/>
      <c r="E338" s="20"/>
      <c r="F338" s="21"/>
      <c r="G338" s="22"/>
      <c r="H338" s="23">
        <f>SUM(H322:H337)</f>
        <v>275.2</v>
      </c>
      <c r="I338" s="13"/>
      <c r="J338" s="14"/>
      <c r="K338" s="24"/>
      <c r="L338" s="23">
        <f>SUM(L322:L337)</f>
        <v>264.97999999999996</v>
      </c>
      <c r="M338" s="13"/>
      <c r="N338" s="15">
        <f t="shared" si="38"/>
        <v>-10.220000000000027</v>
      </c>
      <c r="O338" s="16">
        <f t="shared" si="39"/>
        <v>-3.7136627906976846E-2</v>
      </c>
      <c r="P338" s="60"/>
      <c r="Q338" s="126"/>
      <c r="R338" s="126"/>
      <c r="S338" s="126"/>
      <c r="T338" s="126"/>
      <c r="U338" s="126"/>
      <c r="V338" s="126"/>
      <c r="W338" s="126"/>
      <c r="X338" s="126"/>
      <c r="Y338" s="126"/>
      <c r="Z338" s="126"/>
      <c r="AA338" s="126"/>
      <c r="AB338" s="126"/>
      <c r="AC338" s="126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0"/>
      <c r="AT338" s="60"/>
      <c r="AU338" s="60"/>
      <c r="AV338" s="60"/>
      <c r="AW338" s="60"/>
      <c r="AX338" s="60"/>
      <c r="AY338" s="60"/>
      <c r="AZ338" s="60"/>
      <c r="BA338" s="60"/>
      <c r="BB338" s="60"/>
      <c r="BC338" s="60"/>
      <c r="BD338" s="60"/>
      <c r="BE338" s="60"/>
      <c r="BF338" s="60"/>
      <c r="BG338" s="60"/>
      <c r="BH338" s="60"/>
      <c r="BI338" s="60"/>
      <c r="BJ338" s="60"/>
      <c r="BK338" s="60"/>
    </row>
    <row r="339" spans="1:63" x14ac:dyDescent="0.3">
      <c r="B339" s="17" t="s">
        <v>34</v>
      </c>
      <c r="C339" s="73"/>
      <c r="D339" s="7" t="s">
        <v>27</v>
      </c>
      <c r="E339" s="73"/>
      <c r="F339" s="135">
        <v>2.9999999999999997E-4</v>
      </c>
      <c r="G339" s="74">
        <f>$F317</f>
        <v>15000</v>
      </c>
      <c r="H339" s="136">
        <f t="shared" ref="H339:H345" si="40">G339*F339</f>
        <v>4.5</v>
      </c>
      <c r="I339" s="76"/>
      <c r="J339" s="171">
        <v>-6.9999999999999999E-4</v>
      </c>
      <c r="K339" s="74">
        <f>$F317</f>
        <v>15000</v>
      </c>
      <c r="L339" s="136">
        <f t="shared" ref="L339:L345" si="41">K339*J339</f>
        <v>-10.5</v>
      </c>
      <c r="M339" s="76"/>
      <c r="N339" s="137">
        <f t="shared" si="38"/>
        <v>-15</v>
      </c>
      <c r="O339" s="79">
        <f t="shared" si="39"/>
        <v>-3.3333333333333335</v>
      </c>
      <c r="Q339" s="126"/>
      <c r="R339" s="126"/>
      <c r="S339" s="126"/>
      <c r="T339" s="126"/>
      <c r="U339" s="126"/>
      <c r="V339" s="126"/>
      <c r="W339" s="126"/>
      <c r="X339" s="126"/>
      <c r="Y339" s="126"/>
      <c r="Z339" s="126"/>
      <c r="AA339" s="126"/>
      <c r="AB339" s="126"/>
      <c r="AC339" s="126"/>
    </row>
    <row r="340" spans="1:63" x14ac:dyDescent="0.3">
      <c r="B340" s="17"/>
      <c r="C340" s="73"/>
      <c r="D340" s="7"/>
      <c r="E340" s="73"/>
      <c r="F340" s="8"/>
      <c r="G340" s="74">
        <f>$F317</f>
        <v>15000</v>
      </c>
      <c r="H340" s="136">
        <f t="shared" si="40"/>
        <v>0</v>
      </c>
      <c r="I340" s="82"/>
      <c r="J340" s="8"/>
      <c r="K340" s="74">
        <f>$F317</f>
        <v>15000</v>
      </c>
      <c r="L340" s="136">
        <f t="shared" si="41"/>
        <v>0</v>
      </c>
      <c r="M340" s="83"/>
      <c r="N340" s="137">
        <f t="shared" si="38"/>
        <v>0</v>
      </c>
      <c r="O340" s="79" t="str">
        <f t="shared" si="39"/>
        <v/>
      </c>
      <c r="Q340" s="126"/>
      <c r="R340" s="126"/>
      <c r="S340" s="126"/>
      <c r="T340" s="126"/>
      <c r="U340" s="126"/>
      <c r="V340" s="126"/>
      <c r="W340" s="126"/>
      <c r="X340" s="126"/>
      <c r="Y340" s="126"/>
      <c r="Z340" s="126"/>
      <c r="AA340" s="126"/>
      <c r="AB340" s="126"/>
      <c r="AC340" s="126"/>
    </row>
    <row r="341" spans="1:63" x14ac:dyDescent="0.3">
      <c r="B341" s="17"/>
      <c r="C341" s="73"/>
      <c r="D341" s="7"/>
      <c r="E341" s="73"/>
      <c r="F341" s="8"/>
      <c r="G341" s="74">
        <f>$F317</f>
        <v>15000</v>
      </c>
      <c r="H341" s="136">
        <f t="shared" si="40"/>
        <v>0</v>
      </c>
      <c r="I341" s="82"/>
      <c r="J341" s="8"/>
      <c r="K341" s="74">
        <f>$F317</f>
        <v>15000</v>
      </c>
      <c r="L341" s="136">
        <f t="shared" si="41"/>
        <v>0</v>
      </c>
      <c r="M341" s="83"/>
      <c r="N341" s="137">
        <f t="shared" si="38"/>
        <v>0</v>
      </c>
      <c r="O341" s="79" t="str">
        <f t="shared" si="39"/>
        <v/>
      </c>
      <c r="Q341" s="126"/>
      <c r="R341" s="126"/>
      <c r="S341" s="126"/>
      <c r="T341" s="126"/>
      <c r="U341" s="126"/>
      <c r="V341" s="126"/>
      <c r="W341" s="126"/>
      <c r="X341" s="126"/>
      <c r="Y341" s="126"/>
      <c r="Z341" s="126"/>
      <c r="AA341" s="126"/>
      <c r="AB341" s="126"/>
      <c r="AC341" s="126"/>
    </row>
    <row r="342" spans="1:63" x14ac:dyDescent="0.3">
      <c r="B342" s="17"/>
      <c r="C342" s="73"/>
      <c r="D342" s="7"/>
      <c r="E342" s="73"/>
      <c r="F342" s="8"/>
      <c r="G342" s="74">
        <f>$F317</f>
        <v>15000</v>
      </c>
      <c r="H342" s="136">
        <f t="shared" si="40"/>
        <v>0</v>
      </c>
      <c r="I342" s="82"/>
      <c r="J342" s="8"/>
      <c r="K342" s="74">
        <f>$F317</f>
        <v>15000</v>
      </c>
      <c r="L342" s="136">
        <f t="shared" si="41"/>
        <v>0</v>
      </c>
      <c r="M342" s="83"/>
      <c r="N342" s="137">
        <f t="shared" si="38"/>
        <v>0</v>
      </c>
      <c r="O342" s="79" t="str">
        <f t="shared" si="39"/>
        <v/>
      </c>
      <c r="Q342" s="126"/>
      <c r="R342" s="126"/>
      <c r="S342" s="126"/>
      <c r="T342" s="126"/>
      <c r="U342" s="126"/>
      <c r="V342" s="126"/>
      <c r="W342" s="126"/>
      <c r="X342" s="126"/>
      <c r="Y342" s="126"/>
      <c r="Z342" s="126"/>
      <c r="AA342" s="126"/>
      <c r="AB342" s="126"/>
      <c r="AC342" s="126"/>
    </row>
    <row r="343" spans="1:63" x14ac:dyDescent="0.3">
      <c r="B343" s="80" t="s">
        <v>35</v>
      </c>
      <c r="C343" s="73"/>
      <c r="D343" s="7" t="s">
        <v>27</v>
      </c>
      <c r="E343" s="73"/>
      <c r="F343" s="135">
        <v>2.0000000000000001E-4</v>
      </c>
      <c r="G343" s="74">
        <f>$F317</f>
        <v>15000</v>
      </c>
      <c r="H343" s="136">
        <f t="shared" si="40"/>
        <v>3</v>
      </c>
      <c r="I343" s="76"/>
      <c r="J343" s="171">
        <v>2.9999999999999997E-4</v>
      </c>
      <c r="K343" s="74">
        <f>$F317</f>
        <v>15000</v>
      </c>
      <c r="L343" s="136">
        <f t="shared" si="41"/>
        <v>4.5</v>
      </c>
      <c r="M343" s="76"/>
      <c r="N343" s="137">
        <f t="shared" si="38"/>
        <v>1.5</v>
      </c>
      <c r="O343" s="79">
        <f t="shared" si="39"/>
        <v>0.5</v>
      </c>
      <c r="Q343" s="126"/>
      <c r="R343" s="126"/>
      <c r="S343" s="126"/>
      <c r="T343" s="126"/>
      <c r="U343" s="126"/>
      <c r="V343" s="126"/>
      <c r="W343" s="126"/>
      <c r="X343" s="126"/>
      <c r="Y343" s="126"/>
      <c r="Z343" s="126"/>
      <c r="AA343" s="126"/>
      <c r="AB343" s="126"/>
      <c r="AC343" s="126"/>
    </row>
    <row r="344" spans="1:63" x14ac:dyDescent="0.3">
      <c r="B344" s="80" t="s">
        <v>36</v>
      </c>
      <c r="C344" s="73"/>
      <c r="D344" s="7" t="s">
        <v>27</v>
      </c>
      <c r="E344" s="73"/>
      <c r="F344" s="138">
        <f>IF(ISBLANK(D315)=TRUE, 0, IF(D315="TOU", 0.64*$F354+0.18*$F355+0.18*$F356, IF(AND(D315="non-TOU", G358&gt;0), F358,F357)))</f>
        <v>8.3919999999999995E-2</v>
      </c>
      <c r="G344" s="18">
        <f>$F317*(1+$F373)-$F317</f>
        <v>565.50000000000182</v>
      </c>
      <c r="H344" s="136">
        <f t="shared" si="40"/>
        <v>47.456760000000152</v>
      </c>
      <c r="I344" s="76"/>
      <c r="J344" s="138">
        <f>0.64*$F354+0.18*$F355+0.18*$F356</f>
        <v>8.3919999999999995E-2</v>
      </c>
      <c r="K344" s="18">
        <f>$F317*(1+$J373)-$F317</f>
        <v>564.00000000000182</v>
      </c>
      <c r="L344" s="136">
        <f t="shared" si="41"/>
        <v>47.33088000000015</v>
      </c>
      <c r="M344" s="76"/>
      <c r="N344" s="137">
        <f t="shared" si="38"/>
        <v>-0.12588000000000221</v>
      </c>
      <c r="O344" s="79">
        <f t="shared" si="39"/>
        <v>-2.6525198938992423E-3</v>
      </c>
      <c r="Q344" s="126"/>
      <c r="R344" s="126"/>
      <c r="S344" s="126"/>
      <c r="T344" s="126"/>
      <c r="U344" s="126"/>
      <c r="V344" s="126"/>
      <c r="W344" s="126"/>
      <c r="X344" s="126"/>
      <c r="Y344" s="126"/>
      <c r="Z344" s="126"/>
      <c r="AA344" s="126"/>
      <c r="AB344" s="126"/>
      <c r="AC344" s="126"/>
    </row>
    <row r="345" spans="1:63" x14ac:dyDescent="0.3">
      <c r="B345" s="80" t="s">
        <v>37</v>
      </c>
      <c r="C345" s="73"/>
      <c r="D345" s="7" t="s">
        <v>24</v>
      </c>
      <c r="E345" s="73"/>
      <c r="F345" s="138">
        <v>0.79</v>
      </c>
      <c r="G345" s="74">
        <v>1</v>
      </c>
      <c r="H345" s="136">
        <f t="shared" si="40"/>
        <v>0.79</v>
      </c>
      <c r="I345" s="76"/>
      <c r="J345" s="138">
        <v>0.79</v>
      </c>
      <c r="K345" s="81">
        <v>1</v>
      </c>
      <c r="L345" s="136">
        <f t="shared" si="41"/>
        <v>0.79</v>
      </c>
      <c r="M345" s="76"/>
      <c r="N345" s="137">
        <f t="shared" si="38"/>
        <v>0</v>
      </c>
      <c r="O345" s="79"/>
      <c r="Q345" s="126"/>
      <c r="R345" s="126"/>
      <c r="S345" s="126"/>
      <c r="T345" s="126"/>
      <c r="U345" s="126"/>
      <c r="V345" s="126"/>
      <c r="W345" s="126"/>
      <c r="X345" s="126"/>
      <c r="Y345" s="126"/>
      <c r="Z345" s="126"/>
      <c r="AA345" s="126"/>
      <c r="AB345" s="126"/>
      <c r="AC345" s="126"/>
    </row>
    <row r="346" spans="1:63" s="4" customFormat="1" x14ac:dyDescent="0.3">
      <c r="A346" s="60"/>
      <c r="B346" s="19" t="s">
        <v>38</v>
      </c>
      <c r="C346" s="20"/>
      <c r="D346" s="20"/>
      <c r="E346" s="20"/>
      <c r="F346" s="21"/>
      <c r="G346" s="22"/>
      <c r="H346" s="23">
        <f>SUM(H339:H345)+H338</f>
        <v>330.94676000000015</v>
      </c>
      <c r="I346" s="13"/>
      <c r="J346" s="22"/>
      <c r="K346" s="24"/>
      <c r="L346" s="23">
        <f>SUM(L339:L345)+L338</f>
        <v>307.10088000000013</v>
      </c>
      <c r="M346" s="13"/>
      <c r="N346" s="15">
        <f t="shared" si="38"/>
        <v>-23.845880000000022</v>
      </c>
      <c r="O346" s="16">
        <f t="shared" ref="O346:O358" si="42">IF((H346)=0,"",(N346/H346))</f>
        <v>-7.2053523050051957E-2</v>
      </c>
      <c r="P346" s="60"/>
      <c r="Q346" s="126"/>
      <c r="R346" s="126"/>
      <c r="S346" s="126"/>
      <c r="T346" s="126"/>
      <c r="U346" s="126"/>
      <c r="V346" s="126"/>
      <c r="W346" s="126"/>
      <c r="X346" s="126"/>
      <c r="Y346" s="126"/>
      <c r="Z346" s="126"/>
      <c r="AA346" s="126"/>
      <c r="AB346" s="126"/>
      <c r="AC346" s="126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60"/>
      <c r="BC346" s="60"/>
      <c r="BD346" s="60"/>
      <c r="BE346" s="60"/>
      <c r="BF346" s="60"/>
      <c r="BG346" s="60"/>
      <c r="BH346" s="60"/>
      <c r="BI346" s="60"/>
      <c r="BJ346" s="60"/>
      <c r="BK346" s="60"/>
    </row>
    <row r="347" spans="1:63" x14ac:dyDescent="0.3">
      <c r="B347" s="76" t="s">
        <v>39</v>
      </c>
      <c r="C347" s="76"/>
      <c r="D347" s="25" t="s">
        <v>27</v>
      </c>
      <c r="E347" s="76"/>
      <c r="F347" s="135">
        <v>7.4000000000000003E-3</v>
      </c>
      <c r="G347" s="18">
        <f>F317*(1+F373)</f>
        <v>15565.500000000002</v>
      </c>
      <c r="H347" s="136">
        <f>G347*F347</f>
        <v>115.18470000000002</v>
      </c>
      <c r="I347" s="76"/>
      <c r="J347" s="135">
        <f>+$J$48</f>
        <v>7.3000000000000001E-3</v>
      </c>
      <c r="K347" s="18">
        <f>F317*(1+J373)</f>
        <v>15564.000000000002</v>
      </c>
      <c r="L347" s="136">
        <f>K347*J347</f>
        <v>113.61720000000001</v>
      </c>
      <c r="M347" s="76"/>
      <c r="N347" s="136">
        <f t="shared" si="38"/>
        <v>-1.5675000000000097</v>
      </c>
      <c r="O347" s="79">
        <f t="shared" si="42"/>
        <v>-1.3608578222628608E-2</v>
      </c>
      <c r="Q347" s="126"/>
      <c r="R347" s="126"/>
      <c r="S347" s="126"/>
      <c r="T347" s="126"/>
      <c r="U347" s="126"/>
      <c r="V347" s="126"/>
      <c r="W347" s="126"/>
      <c r="X347" s="126"/>
      <c r="Y347" s="126"/>
      <c r="Z347" s="126"/>
      <c r="AA347" s="126"/>
      <c r="AB347" s="126"/>
      <c r="AC347" s="126"/>
    </row>
    <row r="348" spans="1:63" x14ac:dyDescent="0.3">
      <c r="B348" s="85" t="s">
        <v>40</v>
      </c>
      <c r="C348" s="76"/>
      <c r="D348" s="25" t="s">
        <v>27</v>
      </c>
      <c r="E348" s="76"/>
      <c r="F348" s="135">
        <v>5.0000000000000001E-3</v>
      </c>
      <c r="G348" s="18">
        <f>G347</f>
        <v>15565.500000000002</v>
      </c>
      <c r="H348" s="136">
        <f>G348*F348</f>
        <v>77.827500000000015</v>
      </c>
      <c r="I348" s="76"/>
      <c r="J348" s="135">
        <f>+$J$49</f>
        <v>4.7999999999999996E-3</v>
      </c>
      <c r="K348" s="18">
        <f>K347</f>
        <v>15564.000000000002</v>
      </c>
      <c r="L348" s="136">
        <f>K348*J348</f>
        <v>74.7072</v>
      </c>
      <c r="M348" s="76"/>
      <c r="N348" s="136">
        <f t="shared" si="38"/>
        <v>-3.1203000000000145</v>
      </c>
      <c r="O348" s="79">
        <f t="shared" si="42"/>
        <v>-4.0092512286788271E-2</v>
      </c>
      <c r="Q348" s="126"/>
      <c r="R348" s="126"/>
      <c r="S348" s="126"/>
      <c r="T348" s="126"/>
      <c r="U348" s="126"/>
      <c r="V348" s="126"/>
      <c r="W348" s="126"/>
      <c r="X348" s="126"/>
      <c r="Y348" s="126"/>
      <c r="Z348" s="126"/>
      <c r="AA348" s="126"/>
      <c r="AB348" s="126"/>
      <c r="AC348" s="126"/>
    </row>
    <row r="349" spans="1:63" s="4" customFormat="1" x14ac:dyDescent="0.3">
      <c r="A349" s="60"/>
      <c r="B349" s="19" t="s">
        <v>41</v>
      </c>
      <c r="C349" s="20"/>
      <c r="D349" s="20"/>
      <c r="E349" s="20"/>
      <c r="F349" s="21"/>
      <c r="G349" s="22"/>
      <c r="H349" s="23">
        <f>SUM(H346:H348)</f>
        <v>523.95896000000016</v>
      </c>
      <c r="I349" s="13"/>
      <c r="J349" s="26"/>
      <c r="K349" s="22"/>
      <c r="L349" s="23">
        <f>SUM(L346:L348)</f>
        <v>495.42528000000016</v>
      </c>
      <c r="M349" s="13"/>
      <c r="N349" s="15">
        <f t="shared" si="38"/>
        <v>-28.533680000000004</v>
      </c>
      <c r="O349" s="16">
        <f t="shared" si="42"/>
        <v>-5.4457852958559955E-2</v>
      </c>
      <c r="P349" s="60"/>
      <c r="Q349" s="126"/>
      <c r="R349" s="126"/>
      <c r="S349" s="126"/>
      <c r="T349" s="126"/>
      <c r="U349" s="126"/>
      <c r="V349" s="126"/>
      <c r="W349" s="126"/>
      <c r="X349" s="126"/>
      <c r="Y349" s="126"/>
      <c r="Z349" s="126"/>
      <c r="AA349" s="126"/>
      <c r="AB349" s="126"/>
      <c r="AC349" s="126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60"/>
      <c r="AP349" s="60"/>
      <c r="AQ349" s="60"/>
      <c r="AR349" s="60"/>
      <c r="AS349" s="60"/>
      <c r="AT349" s="60"/>
      <c r="AU349" s="60"/>
      <c r="AV349" s="60"/>
      <c r="AW349" s="60"/>
      <c r="AX349" s="60"/>
      <c r="AY349" s="60"/>
      <c r="AZ349" s="60"/>
      <c r="BA349" s="60"/>
      <c r="BB349" s="60"/>
      <c r="BC349" s="60"/>
      <c r="BD349" s="60"/>
      <c r="BE349" s="60"/>
      <c r="BF349" s="60"/>
      <c r="BG349" s="60"/>
      <c r="BH349" s="60"/>
      <c r="BI349" s="60"/>
      <c r="BJ349" s="60"/>
      <c r="BK349" s="60"/>
    </row>
    <row r="350" spans="1:63" x14ac:dyDescent="0.3">
      <c r="B350" s="86" t="s">
        <v>42</v>
      </c>
      <c r="C350" s="73"/>
      <c r="D350" s="7" t="s">
        <v>27</v>
      </c>
      <c r="E350" s="73"/>
      <c r="F350" s="135">
        <v>4.4000000000000003E-3</v>
      </c>
      <c r="G350" s="18">
        <f>G348</f>
        <v>15565.500000000002</v>
      </c>
      <c r="H350" s="139">
        <f t="shared" ref="H350:H358" si="43">G350*F350</f>
        <v>68.488200000000006</v>
      </c>
      <c r="I350" s="76"/>
      <c r="J350" s="135">
        <f>+F350</f>
        <v>4.4000000000000003E-3</v>
      </c>
      <c r="K350" s="18">
        <f>K348</f>
        <v>15564.000000000002</v>
      </c>
      <c r="L350" s="139">
        <f t="shared" ref="L350:L358" si="44">K350*J350</f>
        <v>68.481600000000014</v>
      </c>
      <c r="M350" s="76"/>
      <c r="N350" s="137">
        <f t="shared" si="38"/>
        <v>-6.5999999999917236E-3</v>
      </c>
      <c r="O350" s="87">
        <f t="shared" si="42"/>
        <v>-9.6366965404138567E-5</v>
      </c>
      <c r="Q350" s="126"/>
      <c r="R350" s="126"/>
      <c r="S350" s="126"/>
      <c r="T350" s="126"/>
      <c r="U350" s="126"/>
      <c r="V350" s="126"/>
      <c r="W350" s="126"/>
      <c r="X350" s="126"/>
      <c r="Y350" s="126"/>
      <c r="Z350" s="126"/>
      <c r="AA350" s="126"/>
      <c r="AB350" s="126"/>
      <c r="AC350" s="126"/>
    </row>
    <row r="351" spans="1:63" x14ac:dyDescent="0.3">
      <c r="B351" s="86" t="s">
        <v>43</v>
      </c>
      <c r="C351" s="73"/>
      <c r="D351" s="7" t="s">
        <v>27</v>
      </c>
      <c r="E351" s="73"/>
      <c r="F351" s="135">
        <v>1.1999999999999999E-3</v>
      </c>
      <c r="G351" s="18">
        <f>G348</f>
        <v>15565.500000000002</v>
      </c>
      <c r="H351" s="139">
        <f t="shared" si="43"/>
        <v>18.678599999999999</v>
      </c>
      <c r="I351" s="76"/>
      <c r="J351" s="135">
        <v>1.2999999999999999E-3</v>
      </c>
      <c r="K351" s="18">
        <f>+K350</f>
        <v>15564.000000000002</v>
      </c>
      <c r="L351" s="139">
        <f t="shared" si="44"/>
        <v>20.2332</v>
      </c>
      <c r="M351" s="76"/>
      <c r="N351" s="137">
        <f t="shared" si="38"/>
        <v>1.5546000000000006</v>
      </c>
      <c r="O351" s="87">
        <f t="shared" si="42"/>
        <v>8.3228935787478753E-2</v>
      </c>
      <c r="Q351" s="126"/>
      <c r="R351" s="126"/>
      <c r="S351" s="126"/>
      <c r="T351" s="126"/>
      <c r="U351" s="126"/>
      <c r="V351" s="126"/>
      <c r="W351" s="126"/>
      <c r="X351" s="126"/>
      <c r="Y351" s="126"/>
      <c r="Z351" s="126"/>
      <c r="AA351" s="126"/>
      <c r="AB351" s="126"/>
      <c r="AC351" s="126"/>
    </row>
    <row r="352" spans="1:63" x14ac:dyDescent="0.3">
      <c r="B352" s="73" t="s">
        <v>44</v>
      </c>
      <c r="C352" s="73"/>
      <c r="D352" s="7" t="s">
        <v>24</v>
      </c>
      <c r="E352" s="73"/>
      <c r="F352" s="135">
        <v>0.25</v>
      </c>
      <c r="G352" s="81">
        <v>1</v>
      </c>
      <c r="H352" s="139">
        <f t="shared" si="43"/>
        <v>0.25</v>
      </c>
      <c r="I352" s="76"/>
      <c r="J352" s="135">
        <f>+F352</f>
        <v>0.25</v>
      </c>
      <c r="K352" s="77">
        <v>1</v>
      </c>
      <c r="L352" s="139">
        <f t="shared" si="44"/>
        <v>0.25</v>
      </c>
      <c r="M352" s="76"/>
      <c r="N352" s="137">
        <f t="shared" si="38"/>
        <v>0</v>
      </c>
      <c r="O352" s="87">
        <f t="shared" si="42"/>
        <v>0</v>
      </c>
      <c r="Q352" s="126"/>
      <c r="R352" s="126"/>
      <c r="S352" s="126"/>
      <c r="T352" s="126"/>
      <c r="U352" s="126"/>
      <c r="V352" s="126"/>
      <c r="W352" s="126"/>
      <c r="X352" s="126"/>
      <c r="Y352" s="126"/>
      <c r="Z352" s="126"/>
      <c r="AA352" s="126"/>
      <c r="AB352" s="126"/>
      <c r="AC352" s="126"/>
    </row>
    <row r="353" spans="1:63" x14ac:dyDescent="0.3">
      <c r="B353" s="73" t="s">
        <v>45</v>
      </c>
      <c r="C353" s="73"/>
      <c r="D353" s="7" t="s">
        <v>27</v>
      </c>
      <c r="E353" s="73"/>
      <c r="F353" s="135">
        <v>7.0000000000000001E-3</v>
      </c>
      <c r="G353" s="84">
        <f>F317</f>
        <v>15000</v>
      </c>
      <c r="H353" s="139">
        <f t="shared" si="43"/>
        <v>105</v>
      </c>
      <c r="I353" s="76"/>
      <c r="J353" s="135">
        <f>+F353</f>
        <v>7.0000000000000001E-3</v>
      </c>
      <c r="K353" s="77">
        <f>F317</f>
        <v>15000</v>
      </c>
      <c r="L353" s="139">
        <f t="shared" si="44"/>
        <v>105</v>
      </c>
      <c r="M353" s="76"/>
      <c r="N353" s="137">
        <f t="shared" si="38"/>
        <v>0</v>
      </c>
      <c r="O353" s="87">
        <f t="shared" si="42"/>
        <v>0</v>
      </c>
      <c r="Q353" s="126"/>
      <c r="R353" s="126"/>
      <c r="S353" s="126"/>
      <c r="T353" s="126"/>
      <c r="U353" s="126"/>
      <c r="V353" s="126"/>
      <c r="W353" s="126"/>
      <c r="X353" s="126"/>
      <c r="Y353" s="126"/>
      <c r="Z353" s="126"/>
      <c r="AA353" s="126"/>
      <c r="AB353" s="126"/>
      <c r="AC353" s="126"/>
    </row>
    <row r="354" spans="1:63" x14ac:dyDescent="0.3">
      <c r="B354" s="80" t="s">
        <v>46</v>
      </c>
      <c r="C354" s="73"/>
      <c r="D354" s="7" t="s">
        <v>27</v>
      </c>
      <c r="E354" s="73"/>
      <c r="F354" s="138">
        <v>6.7000000000000004E-2</v>
      </c>
      <c r="G354" s="27">
        <f>0.64*$F317</f>
        <v>9600</v>
      </c>
      <c r="H354" s="139">
        <f t="shared" si="43"/>
        <v>643.20000000000005</v>
      </c>
      <c r="I354" s="76"/>
      <c r="J354" s="138">
        <v>6.7000000000000004E-2</v>
      </c>
      <c r="K354" s="28">
        <f>G354</f>
        <v>9600</v>
      </c>
      <c r="L354" s="139">
        <f t="shared" si="44"/>
        <v>643.20000000000005</v>
      </c>
      <c r="M354" s="76"/>
      <c r="N354" s="137">
        <f t="shared" si="38"/>
        <v>0</v>
      </c>
      <c r="O354" s="87">
        <f t="shared" si="42"/>
        <v>0</v>
      </c>
      <c r="Q354" s="126"/>
      <c r="R354" s="126"/>
      <c r="S354" s="127"/>
      <c r="T354" s="126"/>
      <c r="U354" s="126"/>
      <c r="V354" s="126"/>
      <c r="W354" s="126"/>
      <c r="X354" s="126"/>
      <c r="Y354" s="126"/>
      <c r="Z354" s="126"/>
      <c r="AA354" s="126"/>
      <c r="AB354" s="126"/>
      <c r="AC354" s="126"/>
    </row>
    <row r="355" spans="1:63" x14ac:dyDescent="0.3">
      <c r="B355" s="80" t="s">
        <v>47</v>
      </c>
      <c r="C355" s="73"/>
      <c r="D355" s="7" t="s">
        <v>27</v>
      </c>
      <c r="E355" s="73"/>
      <c r="F355" s="138">
        <v>0.104</v>
      </c>
      <c r="G355" s="27">
        <f>0.18*$F317</f>
        <v>2700</v>
      </c>
      <c r="H355" s="139">
        <f t="shared" si="43"/>
        <v>280.8</v>
      </c>
      <c r="I355" s="76"/>
      <c r="J355" s="138">
        <v>0.104</v>
      </c>
      <c r="K355" s="28">
        <f>G355</f>
        <v>2700</v>
      </c>
      <c r="L355" s="139">
        <f t="shared" si="44"/>
        <v>280.8</v>
      </c>
      <c r="M355" s="76"/>
      <c r="N355" s="137">
        <f t="shared" si="38"/>
        <v>0</v>
      </c>
      <c r="O355" s="87">
        <f t="shared" si="42"/>
        <v>0</v>
      </c>
      <c r="Q355" s="126"/>
      <c r="R355" s="126"/>
      <c r="S355" s="127"/>
      <c r="T355" s="126"/>
      <c r="U355" s="126"/>
      <c r="V355" s="126"/>
      <c r="W355" s="126"/>
      <c r="X355" s="126"/>
      <c r="Y355" s="126"/>
      <c r="Z355" s="126"/>
      <c r="AA355" s="126"/>
      <c r="AB355" s="126"/>
      <c r="AC355" s="126"/>
    </row>
    <row r="356" spans="1:63" x14ac:dyDescent="0.3">
      <c r="B356" s="64" t="s">
        <v>48</v>
      </c>
      <c r="C356" s="73"/>
      <c r="D356" s="7" t="s">
        <v>27</v>
      </c>
      <c r="E356" s="73"/>
      <c r="F356" s="138">
        <v>0.124</v>
      </c>
      <c r="G356" s="27">
        <f>0.18*$F317</f>
        <v>2700</v>
      </c>
      <c r="H356" s="139">
        <f t="shared" si="43"/>
        <v>334.8</v>
      </c>
      <c r="I356" s="76"/>
      <c r="J356" s="138">
        <v>0.124</v>
      </c>
      <c r="K356" s="28">
        <f>G356</f>
        <v>2700</v>
      </c>
      <c r="L356" s="139">
        <f t="shared" si="44"/>
        <v>334.8</v>
      </c>
      <c r="M356" s="76"/>
      <c r="N356" s="137">
        <f t="shared" si="38"/>
        <v>0</v>
      </c>
      <c r="O356" s="87">
        <f t="shared" si="42"/>
        <v>0</v>
      </c>
      <c r="Q356" s="126"/>
      <c r="R356" s="126"/>
      <c r="S356" s="127"/>
      <c r="T356" s="126"/>
      <c r="U356" s="126"/>
      <c r="V356" s="126"/>
      <c r="W356" s="126"/>
      <c r="X356" s="126"/>
      <c r="Y356" s="126"/>
      <c r="Z356" s="126"/>
      <c r="AA356" s="126"/>
      <c r="AB356" s="126"/>
      <c r="AC356" s="126"/>
    </row>
    <row r="357" spans="1:63" s="92" customFormat="1" x14ac:dyDescent="0.25">
      <c r="B357" s="89" t="s">
        <v>49</v>
      </c>
      <c r="C357" s="90"/>
      <c r="D357" s="29" t="s">
        <v>27</v>
      </c>
      <c r="E357" s="90"/>
      <c r="F357" s="138">
        <v>7.4999999999999997E-2</v>
      </c>
      <c r="G357" s="30">
        <f>IF(AND($T$1=1, F317&gt;=750), 750, IF(AND($T$1=1, AND(F317&lt;750, F317&gt;=0)), F317, IF(AND($T$1=2, F317&gt;=750), 750, IF(AND($T$1=2, AND(F317&lt;750, F317&gt;=0)), F317))))</f>
        <v>750</v>
      </c>
      <c r="H357" s="139">
        <f t="shared" si="43"/>
        <v>56.25</v>
      </c>
      <c r="I357" s="91"/>
      <c r="J357" s="138">
        <v>7.4999999999999997E-2</v>
      </c>
      <c r="K357" s="31">
        <f>G357</f>
        <v>750</v>
      </c>
      <c r="L357" s="139">
        <f t="shared" si="44"/>
        <v>56.25</v>
      </c>
      <c r="M357" s="91"/>
      <c r="N357" s="140">
        <f t="shared" si="38"/>
        <v>0</v>
      </c>
      <c r="O357" s="87">
        <f t="shared" si="42"/>
        <v>0</v>
      </c>
      <c r="Q357" s="128"/>
      <c r="R357" s="128"/>
      <c r="S357" s="128"/>
      <c r="T357" s="128"/>
      <c r="U357" s="128"/>
      <c r="V357" s="128"/>
      <c r="W357" s="128"/>
      <c r="X357" s="128"/>
      <c r="Y357" s="128"/>
      <c r="Z357" s="128"/>
      <c r="AA357" s="128"/>
      <c r="AB357" s="128"/>
      <c r="AC357" s="128"/>
    </row>
    <row r="358" spans="1:63" s="92" customFormat="1" ht="15" thickBot="1" x14ac:dyDescent="0.3">
      <c r="B358" s="89" t="s">
        <v>50</v>
      </c>
      <c r="C358" s="90"/>
      <c r="D358" s="29" t="s">
        <v>27</v>
      </c>
      <c r="E358" s="90"/>
      <c r="F358" s="138">
        <v>8.7999999999999995E-2</v>
      </c>
      <c r="G358" s="30">
        <f>IF(AND($T$1=1, F317&gt;=750), F317-750, IF(AND($T$1=1, AND(F317&lt;750, F317&gt;=0)), 0, IF(AND($T$1=2, F317&gt;=750), F317-750, IF(AND($T$1=2, AND(F317&lt;750, F317&gt;=0)), 0))))</f>
        <v>14250</v>
      </c>
      <c r="H358" s="139">
        <f t="shared" si="43"/>
        <v>1254</v>
      </c>
      <c r="I358" s="91"/>
      <c r="J358" s="138">
        <v>8.7999999999999995E-2</v>
      </c>
      <c r="K358" s="31">
        <f>G358</f>
        <v>14250</v>
      </c>
      <c r="L358" s="139">
        <f t="shared" si="44"/>
        <v>1254</v>
      </c>
      <c r="M358" s="91"/>
      <c r="N358" s="140">
        <f t="shared" si="38"/>
        <v>0</v>
      </c>
      <c r="O358" s="87">
        <f t="shared" si="42"/>
        <v>0</v>
      </c>
      <c r="Q358" s="128"/>
      <c r="R358" s="128"/>
      <c r="S358" s="128"/>
      <c r="T358" s="128"/>
      <c r="U358" s="128"/>
      <c r="V358" s="128"/>
      <c r="W358" s="128"/>
      <c r="X358" s="128"/>
      <c r="Y358" s="128"/>
      <c r="Z358" s="128"/>
      <c r="AA358" s="128"/>
      <c r="AB358" s="128"/>
      <c r="AC358" s="128"/>
    </row>
    <row r="359" spans="1:63" s="4" customFormat="1" ht="15" thickBot="1" x14ac:dyDescent="0.35">
      <c r="A359" s="60"/>
      <c r="B359" s="32"/>
      <c r="C359" s="33"/>
      <c r="D359" s="124"/>
      <c r="E359" s="33"/>
      <c r="F359" s="35"/>
      <c r="G359" s="36"/>
      <c r="H359" s="122"/>
      <c r="I359" s="123"/>
      <c r="J359" s="35"/>
      <c r="K359" s="39"/>
      <c r="L359" s="122"/>
      <c r="M359" s="123"/>
      <c r="N359" s="40"/>
      <c r="O359" s="41"/>
      <c r="P359" s="60"/>
      <c r="Q359" s="126"/>
      <c r="R359" s="126"/>
      <c r="S359" s="126"/>
      <c r="T359" s="126"/>
      <c r="U359" s="126"/>
      <c r="V359" s="126"/>
      <c r="W359" s="126"/>
      <c r="X359" s="126"/>
      <c r="Y359" s="126"/>
      <c r="Z359" s="126"/>
      <c r="AA359" s="126"/>
      <c r="AB359" s="126"/>
      <c r="AC359" s="126"/>
      <c r="AD359" s="60"/>
      <c r="AE359" s="60"/>
      <c r="AF359" s="60"/>
      <c r="AG359" s="60"/>
      <c r="AH359" s="60"/>
      <c r="AI359" s="60"/>
      <c r="AJ359" s="60"/>
      <c r="AK359" s="60"/>
      <c r="AL359" s="60"/>
      <c r="AM359" s="60"/>
      <c r="AN359" s="60"/>
      <c r="AO359" s="60"/>
      <c r="AP359" s="60"/>
      <c r="AQ359" s="60"/>
      <c r="AR359" s="60"/>
      <c r="AS359" s="60"/>
      <c r="AT359" s="60"/>
      <c r="AU359" s="60"/>
      <c r="AV359" s="60"/>
      <c r="AW359" s="60"/>
      <c r="AX359" s="60"/>
      <c r="AY359" s="60"/>
      <c r="AZ359" s="60"/>
      <c r="BA359" s="60"/>
      <c r="BB359" s="60"/>
      <c r="BC359" s="60"/>
      <c r="BD359" s="60"/>
      <c r="BE359" s="60"/>
      <c r="BF359" s="60"/>
      <c r="BG359" s="60"/>
      <c r="BH359" s="60"/>
      <c r="BI359" s="60"/>
      <c r="BJ359" s="60"/>
      <c r="BK359" s="60"/>
    </row>
    <row r="360" spans="1:63" x14ac:dyDescent="0.3">
      <c r="B360" s="93" t="s">
        <v>51</v>
      </c>
      <c r="C360" s="73"/>
      <c r="D360" s="73"/>
      <c r="E360" s="73"/>
      <c r="F360" s="94"/>
      <c r="G360" s="95"/>
      <c r="H360" s="141">
        <f>SUM(H350:H356,H349)</f>
        <v>1975.1757600000001</v>
      </c>
      <c r="I360" s="96"/>
      <c r="J360" s="97"/>
      <c r="K360" s="97"/>
      <c r="L360" s="144">
        <f>SUM(L350:L356,L349)</f>
        <v>1948.1900800000001</v>
      </c>
      <c r="M360" s="145"/>
      <c r="N360" s="146">
        <f>L360-H360</f>
        <v>-26.985680000000002</v>
      </c>
      <c r="O360" s="98">
        <f>IF((H360)=0,"",(N360/H360))</f>
        <v>-1.3662419591459547E-2</v>
      </c>
      <c r="Q360" s="126"/>
      <c r="R360" s="126"/>
      <c r="S360" s="127"/>
      <c r="T360" s="126"/>
      <c r="U360" s="126"/>
      <c r="V360" s="126"/>
      <c r="W360" s="126"/>
      <c r="X360" s="126"/>
      <c r="Y360" s="126"/>
      <c r="Z360" s="126"/>
      <c r="AA360" s="126"/>
      <c r="AB360" s="126"/>
      <c r="AC360" s="126"/>
    </row>
    <row r="361" spans="1:63" x14ac:dyDescent="0.3">
      <c r="B361" s="99" t="s">
        <v>52</v>
      </c>
      <c r="C361" s="73"/>
      <c r="D361" s="73"/>
      <c r="E361" s="73"/>
      <c r="F361" s="100">
        <v>0.13</v>
      </c>
      <c r="G361" s="101"/>
      <c r="H361" s="142">
        <f>H360*F361</f>
        <v>256.77284880000002</v>
      </c>
      <c r="I361" s="102"/>
      <c r="J361" s="103">
        <v>0.13</v>
      </c>
      <c r="K361" s="102"/>
      <c r="L361" s="147">
        <f>L360*J361</f>
        <v>253.26471040000001</v>
      </c>
      <c r="M361" s="148"/>
      <c r="N361" s="149">
        <f>L361-H361</f>
        <v>-3.5081384000000071</v>
      </c>
      <c r="O361" s="104">
        <f>IF((H361)=0,"",(N361/H361))</f>
        <v>-1.3662419591459573E-2</v>
      </c>
      <c r="Q361" s="126"/>
      <c r="R361" s="126"/>
      <c r="S361" s="127"/>
      <c r="T361" s="126"/>
      <c r="U361" s="126"/>
      <c r="V361" s="126"/>
      <c r="W361" s="126"/>
      <c r="X361" s="126"/>
      <c r="Y361" s="126"/>
      <c r="Z361" s="126"/>
      <c r="AA361" s="126"/>
      <c r="AB361" s="126"/>
      <c r="AC361" s="126"/>
    </row>
    <row r="362" spans="1:63" x14ac:dyDescent="0.3">
      <c r="B362" s="105" t="s">
        <v>53</v>
      </c>
      <c r="C362" s="73"/>
      <c r="D362" s="73"/>
      <c r="E362" s="73"/>
      <c r="F362" s="106"/>
      <c r="G362" s="101"/>
      <c r="H362" s="142">
        <f>H360+H361</f>
        <v>2231.9486088000003</v>
      </c>
      <c r="I362" s="102"/>
      <c r="J362" s="102"/>
      <c r="K362" s="102"/>
      <c r="L362" s="147">
        <f>L360+L361</f>
        <v>2201.4547904000001</v>
      </c>
      <c r="M362" s="148"/>
      <c r="N362" s="149">
        <f>L362-H362</f>
        <v>-30.493818400000237</v>
      </c>
      <c r="O362" s="104">
        <f>IF((H362)=0,"",(N362/H362))</f>
        <v>-1.3662419591459651E-2</v>
      </c>
      <c r="Q362" s="126"/>
      <c r="R362" s="126"/>
      <c r="S362" s="127"/>
      <c r="T362" s="126"/>
      <c r="U362" s="126"/>
      <c r="V362" s="126"/>
      <c r="W362" s="126"/>
      <c r="X362" s="126"/>
      <c r="Y362" s="126"/>
      <c r="Z362" s="126"/>
      <c r="AA362" s="126"/>
      <c r="AB362" s="126"/>
      <c r="AC362" s="126"/>
    </row>
    <row r="363" spans="1:63" ht="14.4" customHeight="1" x14ac:dyDescent="0.3">
      <c r="B363" s="172" t="s">
        <v>54</v>
      </c>
      <c r="C363" s="172"/>
      <c r="D363" s="172"/>
      <c r="E363" s="73"/>
      <c r="F363" s="106"/>
      <c r="G363" s="101"/>
      <c r="H363" s="143">
        <f>ROUND(-H362*10%,2)</f>
        <v>-223.19</v>
      </c>
      <c r="I363" s="102"/>
      <c r="J363" s="102"/>
      <c r="K363" s="102"/>
      <c r="L363" s="150">
        <f>ROUND(-L362*10%,2)</f>
        <v>-220.15</v>
      </c>
      <c r="M363" s="148"/>
      <c r="N363" s="151">
        <f>L363-H363</f>
        <v>3.039999999999992</v>
      </c>
      <c r="O363" s="107">
        <f>IF((H363)=0,"",(N363/H363))</f>
        <v>-1.362068193019397E-2</v>
      </c>
      <c r="Q363" s="126"/>
      <c r="R363" s="126"/>
      <c r="S363" s="126"/>
      <c r="T363" s="126"/>
      <c r="U363" s="126"/>
      <c r="V363" s="126"/>
      <c r="W363" s="126"/>
      <c r="X363" s="126"/>
      <c r="Y363" s="126"/>
      <c r="Z363" s="126"/>
      <c r="AA363" s="126"/>
      <c r="AB363" s="126"/>
      <c r="AC363" s="126"/>
    </row>
    <row r="364" spans="1:63" s="4" customFormat="1" ht="15" thickBot="1" x14ac:dyDescent="0.35">
      <c r="A364" s="60"/>
      <c r="B364" s="173" t="s">
        <v>55</v>
      </c>
      <c r="C364" s="173"/>
      <c r="D364" s="173"/>
      <c r="E364" s="42"/>
      <c r="F364" s="43"/>
      <c r="G364" s="44"/>
      <c r="H364" s="45">
        <f>H362+H363</f>
        <v>2008.7586088000003</v>
      </c>
      <c r="I364" s="46"/>
      <c r="J364" s="46"/>
      <c r="K364" s="46"/>
      <c r="L364" s="47">
        <f>L362+L363</f>
        <v>1981.3047904</v>
      </c>
      <c r="M364" s="48"/>
      <c r="N364" s="49">
        <f>L364-H364</f>
        <v>-27.453818400000273</v>
      </c>
      <c r="O364" s="50">
        <f>IF((H364)=0,"",(N364/H364))</f>
        <v>-1.3667056997157432E-2</v>
      </c>
      <c r="P364" s="60"/>
      <c r="Q364" s="126"/>
      <c r="R364" s="126"/>
      <c r="S364" s="126"/>
      <c r="T364" s="126"/>
      <c r="U364" s="126"/>
      <c r="V364" s="126"/>
      <c r="W364" s="126"/>
      <c r="X364" s="126"/>
      <c r="Y364" s="126"/>
      <c r="Z364" s="126"/>
      <c r="AA364" s="126"/>
      <c r="AB364" s="126"/>
      <c r="AC364" s="126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  <c r="AU364" s="60"/>
      <c r="AV364" s="60"/>
      <c r="AW364" s="60"/>
      <c r="AX364" s="60"/>
      <c r="AY364" s="60"/>
      <c r="AZ364" s="60"/>
      <c r="BA364" s="60"/>
      <c r="BB364" s="60"/>
      <c r="BC364" s="60"/>
      <c r="BD364" s="60"/>
      <c r="BE364" s="60"/>
      <c r="BF364" s="60"/>
      <c r="BG364" s="60"/>
      <c r="BH364" s="60"/>
      <c r="BI364" s="60"/>
      <c r="BJ364" s="60"/>
      <c r="BK364" s="60"/>
    </row>
    <row r="365" spans="1:63" s="4" customFormat="1" ht="15" thickBot="1" x14ac:dyDescent="0.35">
      <c r="A365" s="60"/>
      <c r="B365" s="32"/>
      <c r="C365" s="33"/>
      <c r="D365" s="34"/>
      <c r="E365" s="33"/>
      <c r="F365" s="35"/>
      <c r="G365" s="36"/>
      <c r="H365" s="37"/>
      <c r="I365" s="38"/>
      <c r="J365" s="35"/>
      <c r="K365" s="39"/>
      <c r="L365" s="37"/>
      <c r="M365" s="123"/>
      <c r="N365" s="40"/>
      <c r="O365" s="41"/>
      <c r="P365" s="60"/>
      <c r="Q365" s="126"/>
      <c r="R365" s="126"/>
      <c r="S365" s="126"/>
      <c r="T365" s="126"/>
      <c r="U365" s="126"/>
      <c r="V365" s="126"/>
      <c r="W365" s="126"/>
      <c r="X365" s="126"/>
      <c r="Y365" s="126"/>
      <c r="Z365" s="126"/>
      <c r="AA365" s="126"/>
      <c r="AB365" s="126"/>
      <c r="AC365" s="126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60"/>
      <c r="AP365" s="60"/>
      <c r="AQ365" s="60"/>
      <c r="AR365" s="60"/>
      <c r="AS365" s="60"/>
      <c r="AT365" s="60"/>
      <c r="AU365" s="60"/>
      <c r="AV365" s="60"/>
      <c r="AW365" s="60"/>
      <c r="AX365" s="60"/>
      <c r="AY365" s="60"/>
      <c r="AZ365" s="60"/>
      <c r="BA365" s="60"/>
      <c r="BB365" s="60"/>
      <c r="BC365" s="60"/>
      <c r="BD365" s="60"/>
      <c r="BE365" s="60"/>
      <c r="BF365" s="60"/>
      <c r="BG365" s="60"/>
      <c r="BH365" s="60"/>
      <c r="BI365" s="60"/>
      <c r="BJ365" s="60"/>
      <c r="BK365" s="60"/>
    </row>
    <row r="366" spans="1:63" s="92" customFormat="1" ht="13.2" x14ac:dyDescent="0.25">
      <c r="B366" s="108" t="s">
        <v>56</v>
      </c>
      <c r="C366" s="90"/>
      <c r="D366" s="90"/>
      <c r="E366" s="90"/>
      <c r="F366" s="109"/>
      <c r="G366" s="110"/>
      <c r="H366" s="152">
        <f>SUM(H357:H358,H349,H350:H353)</f>
        <v>2026.6257600000001</v>
      </c>
      <c r="I366" s="111"/>
      <c r="J366" s="112"/>
      <c r="K366" s="112"/>
      <c r="L366" s="155">
        <f>SUM(L357:L358,L349,L350:L353)</f>
        <v>1999.6400800000001</v>
      </c>
      <c r="M366" s="156"/>
      <c r="N366" s="157">
        <f>L366-H366</f>
        <v>-26.985680000000002</v>
      </c>
      <c r="O366" s="98">
        <f>IF((H366)=0,"",(N366/H366))</f>
        <v>-1.331557139587528E-2</v>
      </c>
      <c r="Q366" s="128"/>
      <c r="R366" s="128"/>
      <c r="S366" s="128"/>
      <c r="T366" s="128"/>
      <c r="U366" s="128"/>
      <c r="V366" s="128"/>
      <c r="W366" s="128"/>
      <c r="X366" s="128"/>
      <c r="Y366" s="128"/>
      <c r="Z366" s="128"/>
      <c r="AA366" s="128"/>
      <c r="AB366" s="128"/>
      <c r="AC366" s="128"/>
    </row>
    <row r="367" spans="1:63" s="92" customFormat="1" ht="13.2" x14ac:dyDescent="0.25">
      <c r="B367" s="113" t="s">
        <v>52</v>
      </c>
      <c r="C367" s="90"/>
      <c r="D367" s="90"/>
      <c r="E367" s="90"/>
      <c r="F367" s="114">
        <v>0.13</v>
      </c>
      <c r="G367" s="110"/>
      <c r="H367" s="153">
        <f>H366*F367</f>
        <v>263.46134880000005</v>
      </c>
      <c r="I367" s="115"/>
      <c r="J367" s="116">
        <v>0.13</v>
      </c>
      <c r="K367" s="117"/>
      <c r="L367" s="158">
        <f>L366*J367</f>
        <v>259.95321040000005</v>
      </c>
      <c r="M367" s="159"/>
      <c r="N367" s="160">
        <f>L367-H367</f>
        <v>-3.5081384000000071</v>
      </c>
      <c r="O367" s="104">
        <f>IF((H367)=0,"",(N367/H367))</f>
        <v>-1.3315571395875305E-2</v>
      </c>
      <c r="Q367" s="128"/>
      <c r="R367" s="128"/>
      <c r="S367" s="128"/>
      <c r="T367" s="128"/>
      <c r="U367" s="128"/>
      <c r="V367" s="128"/>
      <c r="W367" s="128"/>
      <c r="X367" s="128"/>
      <c r="Y367" s="128"/>
      <c r="Z367" s="128"/>
      <c r="AA367" s="128"/>
      <c r="AB367" s="128"/>
      <c r="AC367" s="128"/>
    </row>
    <row r="368" spans="1:63" s="92" customFormat="1" ht="13.2" x14ac:dyDescent="0.25">
      <c r="B368" s="118" t="s">
        <v>53</v>
      </c>
      <c r="C368" s="90"/>
      <c r="D368" s="90"/>
      <c r="E368" s="90"/>
      <c r="F368" s="119"/>
      <c r="G368" s="120"/>
      <c r="H368" s="153">
        <f>H366+H367</f>
        <v>2290.0871088000004</v>
      </c>
      <c r="I368" s="115"/>
      <c r="J368" s="115"/>
      <c r="K368" s="115"/>
      <c r="L368" s="158">
        <f>L366+L367</f>
        <v>2259.5932904000001</v>
      </c>
      <c r="M368" s="159"/>
      <c r="N368" s="160">
        <f>L368-H368</f>
        <v>-30.493818400000237</v>
      </c>
      <c r="O368" s="104">
        <f>IF((H368)=0,"",(N368/H368))</f>
        <v>-1.3315571395875381E-2</v>
      </c>
      <c r="Q368" s="128"/>
      <c r="R368" s="128"/>
      <c r="S368" s="128"/>
      <c r="T368" s="128"/>
      <c r="U368" s="128"/>
      <c r="V368" s="128"/>
      <c r="W368" s="128"/>
      <c r="X368" s="128"/>
      <c r="Y368" s="128"/>
      <c r="Z368" s="128"/>
      <c r="AA368" s="128"/>
      <c r="AB368" s="128"/>
      <c r="AC368" s="128"/>
    </row>
    <row r="369" spans="1:63" s="92" customFormat="1" ht="13.2" customHeight="1" x14ac:dyDescent="0.25">
      <c r="B369" s="174" t="s">
        <v>54</v>
      </c>
      <c r="C369" s="174"/>
      <c r="D369" s="174"/>
      <c r="E369" s="90"/>
      <c r="F369" s="119"/>
      <c r="G369" s="120"/>
      <c r="H369" s="154">
        <f>ROUND(-H368*10%,2)</f>
        <v>-229.01</v>
      </c>
      <c r="I369" s="115"/>
      <c r="J369" s="115"/>
      <c r="K369" s="115"/>
      <c r="L369" s="161">
        <f>ROUND(-L368*10%,2)</f>
        <v>-225.96</v>
      </c>
      <c r="M369" s="159"/>
      <c r="N369" s="162">
        <f>L369-H369</f>
        <v>3.0499999999999829</v>
      </c>
      <c r="O369" s="107">
        <f>IF((H369)=0,"",(N369/H369))</f>
        <v>-1.3318195711977569E-2</v>
      </c>
      <c r="Q369" s="128"/>
      <c r="R369" s="128"/>
      <c r="S369" s="128"/>
      <c r="T369" s="128"/>
      <c r="U369" s="128"/>
      <c r="V369" s="128"/>
      <c r="W369" s="128"/>
      <c r="X369" s="128"/>
      <c r="Y369" s="128"/>
      <c r="Z369" s="128"/>
      <c r="AA369" s="128"/>
      <c r="AB369" s="128"/>
      <c r="AC369" s="128"/>
    </row>
    <row r="370" spans="1:63" s="4" customFormat="1" ht="15" thickBot="1" x14ac:dyDescent="0.35">
      <c r="A370" s="60"/>
      <c r="B370" s="173" t="s">
        <v>57</v>
      </c>
      <c r="C370" s="173"/>
      <c r="D370" s="173"/>
      <c r="E370" s="42"/>
      <c r="F370" s="43"/>
      <c r="G370" s="44"/>
      <c r="H370" s="45">
        <f>SUM(H368:H369)</f>
        <v>2061.0771088000001</v>
      </c>
      <c r="I370" s="46"/>
      <c r="J370" s="46"/>
      <c r="K370" s="46"/>
      <c r="L370" s="47">
        <f>SUM(L368:L369)</f>
        <v>2033.6332904000001</v>
      </c>
      <c r="M370" s="48"/>
      <c r="N370" s="49">
        <f>L370-H370</f>
        <v>-27.443818400000055</v>
      </c>
      <c r="O370" s="50">
        <f>IF((H370)=0,"",(N370/H370))</f>
        <v>-1.3315279803373483E-2</v>
      </c>
      <c r="P370" s="60"/>
      <c r="Q370" s="126"/>
      <c r="R370" s="126"/>
      <c r="S370" s="126"/>
      <c r="T370" s="126"/>
      <c r="U370" s="126"/>
      <c r="V370" s="126"/>
      <c r="W370" s="126"/>
      <c r="X370" s="126"/>
      <c r="Y370" s="126"/>
      <c r="Z370" s="126"/>
      <c r="AA370" s="126"/>
      <c r="AB370" s="126"/>
      <c r="AC370" s="126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60"/>
      <c r="AV370" s="60"/>
      <c r="AW370" s="60"/>
      <c r="AX370" s="60"/>
      <c r="AY370" s="60"/>
      <c r="AZ370" s="60"/>
      <c r="BA370" s="60"/>
      <c r="BB370" s="60"/>
      <c r="BC370" s="60"/>
      <c r="BD370" s="60"/>
      <c r="BE370" s="60"/>
      <c r="BF370" s="60"/>
      <c r="BG370" s="60"/>
      <c r="BH370" s="60"/>
      <c r="BI370" s="60"/>
      <c r="BJ370" s="60"/>
      <c r="BK370" s="60"/>
    </row>
    <row r="371" spans="1:63" s="4" customFormat="1" ht="15" thickBot="1" x14ac:dyDescent="0.35">
      <c r="A371" s="60"/>
      <c r="B371" s="32"/>
      <c r="C371" s="33"/>
      <c r="D371" s="34"/>
      <c r="E371" s="33"/>
      <c r="F371" s="35"/>
      <c r="G371" s="36"/>
      <c r="H371" s="122"/>
      <c r="I371" s="123"/>
      <c r="J371" s="35"/>
      <c r="K371" s="39"/>
      <c r="L371" s="37"/>
      <c r="M371" s="123"/>
      <c r="N371" s="40"/>
      <c r="O371" s="41"/>
      <c r="P371" s="60"/>
      <c r="Q371" s="126"/>
      <c r="R371" s="126"/>
      <c r="S371" s="126"/>
      <c r="T371" s="126"/>
      <c r="U371" s="126"/>
      <c r="V371" s="126"/>
      <c r="W371" s="126"/>
      <c r="X371" s="126"/>
      <c r="Y371" s="126"/>
      <c r="Z371" s="126"/>
      <c r="AA371" s="126"/>
      <c r="AB371" s="126"/>
      <c r="AC371" s="126"/>
      <c r="AD371" s="60"/>
      <c r="AE371" s="60"/>
      <c r="AF371" s="60"/>
      <c r="AG371" s="60"/>
      <c r="AH371" s="60"/>
      <c r="AI371" s="60"/>
      <c r="AJ371" s="60"/>
      <c r="AK371" s="60"/>
      <c r="AL371" s="60"/>
      <c r="AM371" s="60"/>
      <c r="AN371" s="60"/>
      <c r="AO371" s="60"/>
      <c r="AP371" s="60"/>
      <c r="AQ371" s="60"/>
      <c r="AR371" s="60"/>
      <c r="AS371" s="60"/>
      <c r="AT371" s="60"/>
      <c r="AU371" s="60"/>
      <c r="AV371" s="60"/>
      <c r="AW371" s="60"/>
      <c r="AX371" s="60"/>
      <c r="AY371" s="60"/>
      <c r="AZ371" s="60"/>
      <c r="BA371" s="60"/>
      <c r="BB371" s="60"/>
      <c r="BC371" s="60"/>
      <c r="BD371" s="60"/>
      <c r="BE371" s="60"/>
      <c r="BF371" s="60"/>
      <c r="BG371" s="60"/>
      <c r="BH371" s="60"/>
      <c r="BI371" s="60"/>
      <c r="BJ371" s="60"/>
      <c r="BK371" s="60"/>
    </row>
    <row r="372" spans="1:63" x14ac:dyDescent="0.3">
      <c r="L372" s="88"/>
    </row>
    <row r="373" spans="1:63" x14ac:dyDescent="0.3">
      <c r="B373" s="65" t="s">
        <v>58</v>
      </c>
      <c r="F373" s="51">
        <v>3.7699999999999997E-2</v>
      </c>
      <c r="J373" s="51">
        <f>+Residential!$J$74</f>
        <v>3.7600000000000001E-2</v>
      </c>
    </row>
    <row r="375" spans="1:63" x14ac:dyDescent="0.3">
      <c r="L375" s="56"/>
      <c r="M375" s="56"/>
      <c r="N375" s="56"/>
      <c r="O375" s="56"/>
      <c r="P375" s="56"/>
    </row>
    <row r="376" spans="1:63" ht="16.2" x14ac:dyDescent="0.3">
      <c r="A376" s="121" t="s">
        <v>59</v>
      </c>
    </row>
    <row r="378" spans="1:63" x14ac:dyDescent="0.3">
      <c r="A378" s="60" t="s">
        <v>60</v>
      </c>
    </row>
    <row r="379" spans="1:63" x14ac:dyDescent="0.3">
      <c r="A379" s="60" t="s">
        <v>61</v>
      </c>
    </row>
    <row r="381" spans="1:63" x14ac:dyDescent="0.3">
      <c r="B381" s="60" t="s">
        <v>62</v>
      </c>
    </row>
    <row r="382" spans="1:63" x14ac:dyDescent="0.3">
      <c r="A382" s="64"/>
    </row>
  </sheetData>
  <mergeCells count="66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  <mergeCell ref="B218:D218"/>
    <mergeCell ref="B363:D363"/>
    <mergeCell ref="B364:D364"/>
    <mergeCell ref="B369:D369"/>
    <mergeCell ref="B370:D370"/>
    <mergeCell ref="B294:D294"/>
    <mergeCell ref="B295:D295"/>
    <mergeCell ref="B309:O309"/>
    <mergeCell ref="B310:O310"/>
    <mergeCell ref="B219:D219"/>
    <mergeCell ref="B234:O234"/>
    <mergeCell ref="B235:O235"/>
    <mergeCell ref="D238:O238"/>
    <mergeCell ref="F244:H244"/>
    <mergeCell ref="J244:L244"/>
    <mergeCell ref="N244:O244"/>
    <mergeCell ref="D169:D170"/>
    <mergeCell ref="N169:N170"/>
    <mergeCell ref="O169:O170"/>
    <mergeCell ref="B212:D212"/>
    <mergeCell ref="B213:D213"/>
    <mergeCell ref="B158:O158"/>
    <mergeCell ref="B159:O159"/>
    <mergeCell ref="D162:O162"/>
    <mergeCell ref="F168:H168"/>
    <mergeCell ref="J168:L168"/>
    <mergeCell ref="N168:O168"/>
    <mergeCell ref="D245:D246"/>
    <mergeCell ref="N245:N246"/>
    <mergeCell ref="O245:O246"/>
    <mergeCell ref="B288:D288"/>
    <mergeCell ref="B289:D289"/>
    <mergeCell ref="D313:O313"/>
    <mergeCell ref="F319:H319"/>
    <mergeCell ref="J319:L319"/>
    <mergeCell ref="N319:O319"/>
    <mergeCell ref="D320:D321"/>
    <mergeCell ref="N320:N321"/>
    <mergeCell ref="O320:O321"/>
    <mergeCell ref="B84:O84"/>
    <mergeCell ref="B85:O85"/>
    <mergeCell ref="D88:O88"/>
    <mergeCell ref="F94:H94"/>
    <mergeCell ref="J94:L94"/>
    <mergeCell ref="N94:O94"/>
    <mergeCell ref="B144:D144"/>
    <mergeCell ref="B145:D145"/>
    <mergeCell ref="D95:D96"/>
    <mergeCell ref="N95:N96"/>
    <mergeCell ref="O95:O96"/>
    <mergeCell ref="B138:D138"/>
    <mergeCell ref="B139:D139"/>
  </mergeCells>
  <dataValidations count="4">
    <dataValidation type="list" allowBlank="1" showInputMessage="1" showErrorMessage="1" sqref="E48:E49 E40:E46 E23:E38 E51:E57 E60 E196:E197 E188:E194 E171:E186 E199:E205 E208 E272:E273 E264:E270 E247:E262 E275:E281 E284 E347:E348 E339:E345 E322:E337 E350:E356 E359 E122:E123 E114:E120 E97:E112 E125:E131 E134">
      <formula1>#REF!</formula1>
    </dataValidation>
    <dataValidation type="list" allowBlank="1" showInputMessage="1" showErrorMessage="1" prompt="Select Charge Unit - monthly, per kWh, per kW" sqref="D48:D49 D40:D46 D66 D23:D38 D72 D51:D60 D196:D197 D188:D194 D214 D171:D186 D220 D199:D208 D272:D273 D264:D270 D290 D247:D262 D296 D275:D284 D347:D348 D339:D345 D365 D322:D337 D371 D350:D359 D122:D123 D114:D120 D140 D97:D112 D146 D125:D134">
      <formula1>"Monthly, per kWh, per kW"</formula1>
    </dataValidation>
    <dataValidation type="list" allowBlank="1" showInputMessage="1" showErrorMessage="1" sqref="E72 E66 E58:E59 E220 E214 E206:E207 E296 E290 E282:E283 E371 E365 E357:E358 E146 E140 E132:E133">
      <formula1>#REF!</formula1>
    </dataValidation>
    <dataValidation type="list" allowBlank="1" showInputMessage="1" showErrorMessage="1" sqref="D16 D164 D240 D315 D90">
      <formula1>"TOU, non-TOU"</formula1>
    </dataValidation>
  </dataValidations>
  <pageMargins left="0.7" right="0.7" top="0.75" bottom="0.75" header="0.3" footer="0.3"/>
  <pageSetup scale="52" fitToHeight="0" orientation="portrait" r:id="rId1"/>
  <rowBreaks count="4" manualBreakCount="4">
    <brk id="83" max="15" man="1"/>
    <brk id="157" max="15" man="1"/>
    <brk id="233" max="15" man="1"/>
    <brk id="307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87" r:id="rId4" name="Option Button 167">
              <controlPr defaultSize="0" autoFill="0" autoLine="0" autoPict="0">
                <anchor moveWithCells="1">
                  <from>
                    <xdr:col>6</xdr:col>
                    <xdr:colOff>861060</xdr:colOff>
                    <xdr:row>16</xdr:row>
                    <xdr:rowOff>190500</xdr:rowOff>
                  </from>
                  <to>
                    <xdr:col>8</xdr:col>
                    <xdr:colOff>45720</xdr:colOff>
                    <xdr:row>17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5" name="Option Button 168">
              <controlPr defaultSize="0" autoFill="0" autoLine="0" autoPict="0">
                <anchor moveWithCells="1">
                  <from>
                    <xdr:col>9</xdr:col>
                    <xdr:colOff>182880</xdr:colOff>
                    <xdr:row>16</xdr:row>
                    <xdr:rowOff>152400</xdr:rowOff>
                  </from>
                  <to>
                    <xdr:col>14</xdr:col>
                    <xdr:colOff>815340</xdr:colOff>
                    <xdr:row>17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K307"/>
  <sheetViews>
    <sheetView view="pageBreakPreview" topLeftCell="A9" zoomScale="80" zoomScaleNormal="80" zoomScaleSheetLayoutView="80" workbookViewId="0">
      <selection activeCell="D262" sqref="D262"/>
    </sheetView>
  </sheetViews>
  <sheetFormatPr defaultColWidth="9.109375" defaultRowHeight="14.4" x14ac:dyDescent="0.3"/>
  <cols>
    <col min="1" max="1" width="4.44140625" style="60" customWidth="1"/>
    <col min="2" max="2" width="56.21875" style="60" customWidth="1"/>
    <col min="3" max="3" width="1.33203125" style="60" customWidth="1"/>
    <col min="4" max="4" width="11.33203125" style="60" customWidth="1"/>
    <col min="5" max="5" width="1.33203125" style="60" customWidth="1"/>
    <col min="6" max="6" width="12.33203125" style="60" customWidth="1"/>
    <col min="7" max="7" width="14.44140625" style="60" bestFit="1" customWidth="1"/>
    <col min="8" max="8" width="12.33203125" style="60" customWidth="1"/>
    <col min="9" max="9" width="2.88671875" style="60" customWidth="1"/>
    <col min="10" max="10" width="12.109375" style="60" customWidth="1"/>
    <col min="11" max="11" width="12" style="60" customWidth="1"/>
    <col min="12" max="12" width="12.5546875" style="60" customWidth="1"/>
    <col min="13" max="13" width="2.88671875" style="60" customWidth="1"/>
    <col min="14" max="14" width="12.6640625" style="60" bestFit="1" customWidth="1"/>
    <col min="15" max="15" width="13.6640625" style="60" customWidth="1"/>
    <col min="16" max="16" width="3.88671875" style="60" customWidth="1"/>
    <col min="17" max="19" width="9.109375" style="60"/>
    <col min="20" max="20" width="9.109375" style="60" customWidth="1"/>
    <col min="21" max="16384" width="9.109375" style="60"/>
  </cols>
  <sheetData>
    <row r="1" spans="1:20" s="53" customFormat="1" ht="9.6" hidden="1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N1" s="54" t="s">
        <v>0</v>
      </c>
      <c r="O1" s="55" t="s">
        <v>76</v>
      </c>
      <c r="P1" s="56"/>
      <c r="T1" s="53">
        <v>1</v>
      </c>
    </row>
    <row r="2" spans="1:20" s="53" customFormat="1" ht="9.6" hidden="1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N2" s="54" t="s">
        <v>1</v>
      </c>
      <c r="O2" s="2"/>
      <c r="P2" s="56"/>
    </row>
    <row r="3" spans="1:20" s="53" customFormat="1" ht="9.6" hidden="1" customHeigh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N3" s="54" t="s">
        <v>2</v>
      </c>
      <c r="O3" s="2"/>
      <c r="P3" s="56"/>
    </row>
    <row r="4" spans="1:20" s="53" customFormat="1" ht="9.6" hidden="1" customHeight="1" x14ac:dyDescent="0.3">
      <c r="A4" s="57"/>
      <c r="B4" s="57"/>
      <c r="C4" s="57"/>
      <c r="D4" s="57"/>
      <c r="E4" s="57"/>
      <c r="F4" s="57"/>
      <c r="G4" s="57"/>
      <c r="H4" s="57"/>
      <c r="I4" s="58"/>
      <c r="J4" s="58"/>
      <c r="K4" s="58"/>
      <c r="N4" s="54" t="s">
        <v>3</v>
      </c>
      <c r="O4" s="2"/>
      <c r="P4" s="56"/>
    </row>
    <row r="5" spans="1:20" s="53" customFormat="1" ht="9.6" hidden="1" customHeight="1" x14ac:dyDescent="0.3">
      <c r="C5" s="59"/>
      <c r="D5" s="59"/>
      <c r="E5" s="59"/>
      <c r="N5" s="54" t="s">
        <v>4</v>
      </c>
      <c r="O5" s="3"/>
      <c r="P5" s="56"/>
    </row>
    <row r="6" spans="1:20" s="53" customFormat="1" ht="9.6" hidden="1" customHeight="1" x14ac:dyDescent="0.3">
      <c r="N6" s="54"/>
      <c r="O6" s="1"/>
      <c r="P6" s="56"/>
    </row>
    <row r="7" spans="1:20" s="53" customFormat="1" hidden="1" x14ac:dyDescent="0.3">
      <c r="N7" s="54" t="s">
        <v>5</v>
      </c>
      <c r="O7" s="3"/>
      <c r="P7" s="56"/>
    </row>
    <row r="8" spans="1:20" s="53" customFormat="1" ht="15" hidden="1" customHeight="1" x14ac:dyDescent="0.3">
      <c r="N8" s="60"/>
      <c r="O8" s="56"/>
      <c r="P8" s="56"/>
    </row>
    <row r="9" spans="1:20" ht="7.5" customHeight="1" x14ac:dyDescent="0.3">
      <c r="L9" s="56"/>
      <c r="M9" s="56"/>
      <c r="N9" s="56"/>
      <c r="O9" s="56"/>
      <c r="P9" s="56"/>
    </row>
    <row r="10" spans="1:20" ht="18.75" customHeight="1" x14ac:dyDescent="0.3">
      <c r="B10" s="175" t="s">
        <v>6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56"/>
    </row>
    <row r="11" spans="1:20" ht="18.75" customHeight="1" x14ac:dyDescent="0.3">
      <c r="B11" s="175" t="s">
        <v>7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56"/>
    </row>
    <row r="12" spans="1:20" ht="7.5" customHeight="1" x14ac:dyDescent="0.3">
      <c r="L12" s="56"/>
      <c r="M12" s="56"/>
      <c r="N12" s="56"/>
      <c r="O12" s="56"/>
      <c r="P12" s="56"/>
    </row>
    <row r="13" spans="1:20" ht="7.5" customHeight="1" x14ac:dyDescent="0.3">
      <c r="L13" s="56"/>
      <c r="M13" s="56"/>
      <c r="N13" s="56"/>
      <c r="O13" s="56"/>
      <c r="P13" s="56"/>
    </row>
    <row r="14" spans="1:20" ht="15.6" x14ac:dyDescent="0.3">
      <c r="B14" s="61" t="s">
        <v>8</v>
      </c>
      <c r="D14" s="185" t="s">
        <v>68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</row>
    <row r="15" spans="1:20" ht="7.5" customHeight="1" x14ac:dyDescent="0.3">
      <c r="B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20" ht="15.6" x14ac:dyDescent="0.3">
      <c r="B16" s="61" t="s">
        <v>9</v>
      </c>
      <c r="D16" s="5" t="s">
        <v>63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pans="2:29" ht="15.6" x14ac:dyDescent="0.3">
      <c r="B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2:29" x14ac:dyDescent="0.3">
      <c r="B18" s="64"/>
      <c r="D18" s="65" t="s">
        <v>11</v>
      </c>
      <c r="E18" s="65"/>
      <c r="F18" s="6">
        <v>100</v>
      </c>
      <c r="G18" s="65" t="s">
        <v>64</v>
      </c>
    </row>
    <row r="19" spans="2:29" x14ac:dyDescent="0.3">
      <c r="B19" s="64"/>
      <c r="F19" s="6">
        <v>30000</v>
      </c>
      <c r="G19" s="65" t="s">
        <v>12</v>
      </c>
    </row>
    <row r="20" spans="2:29" x14ac:dyDescent="0.3">
      <c r="B20" s="64"/>
      <c r="D20" s="66"/>
      <c r="E20" s="66"/>
      <c r="F20" s="176" t="s">
        <v>13</v>
      </c>
      <c r="G20" s="177"/>
      <c r="H20" s="178"/>
      <c r="J20" s="176" t="s">
        <v>14</v>
      </c>
      <c r="K20" s="177"/>
      <c r="L20" s="178"/>
      <c r="N20" s="176" t="s">
        <v>15</v>
      </c>
      <c r="O20" s="178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</row>
    <row r="21" spans="2:29" x14ac:dyDescent="0.3">
      <c r="B21" s="64"/>
      <c r="D21" s="179" t="s">
        <v>16</v>
      </c>
      <c r="E21" s="67"/>
      <c r="F21" s="68" t="s">
        <v>17</v>
      </c>
      <c r="G21" s="68" t="s">
        <v>18</v>
      </c>
      <c r="H21" s="69" t="s">
        <v>19</v>
      </c>
      <c r="J21" s="68" t="s">
        <v>17</v>
      </c>
      <c r="K21" s="70" t="s">
        <v>18</v>
      </c>
      <c r="L21" s="69" t="s">
        <v>19</v>
      </c>
      <c r="N21" s="181" t="s">
        <v>20</v>
      </c>
      <c r="O21" s="183" t="s">
        <v>21</v>
      </c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</row>
    <row r="22" spans="2:29" x14ac:dyDescent="0.3">
      <c r="B22" s="64"/>
      <c r="D22" s="180"/>
      <c r="E22" s="67"/>
      <c r="F22" s="71" t="s">
        <v>22</v>
      </c>
      <c r="G22" s="71"/>
      <c r="H22" s="72" t="s">
        <v>22</v>
      </c>
      <c r="J22" s="71" t="s">
        <v>22</v>
      </c>
      <c r="K22" s="72"/>
      <c r="L22" s="72" t="s">
        <v>22</v>
      </c>
      <c r="N22" s="182"/>
      <c r="O22" s="184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</row>
    <row r="23" spans="2:29" x14ac:dyDescent="0.3">
      <c r="B23" s="73" t="s">
        <v>23</v>
      </c>
      <c r="C23" s="73"/>
      <c r="D23" s="7" t="s">
        <v>24</v>
      </c>
      <c r="E23" s="73"/>
      <c r="F23" s="129">
        <v>118.45</v>
      </c>
      <c r="G23" s="74">
        <v>1</v>
      </c>
      <c r="H23" s="75">
        <f t="shared" ref="H23:H38" si="0">G23*F23</f>
        <v>118.45</v>
      </c>
      <c r="I23" s="76"/>
      <c r="J23" s="129">
        <v>118.45</v>
      </c>
      <c r="K23" s="77">
        <v>1</v>
      </c>
      <c r="L23" s="75">
        <f t="shared" ref="L23:L38" si="1">K23*J23</f>
        <v>118.45</v>
      </c>
      <c r="M23" s="76"/>
      <c r="N23" s="78">
        <f t="shared" ref="N23:N59" si="2">L23-H23</f>
        <v>0</v>
      </c>
      <c r="O23" s="79">
        <f t="shared" ref="O23:O45" si="3">IF((H23)=0,"",(N23/H23))</f>
        <v>0</v>
      </c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</row>
    <row r="24" spans="2:29" x14ac:dyDescent="0.3">
      <c r="B24" s="73" t="s">
        <v>25</v>
      </c>
      <c r="C24" s="73"/>
      <c r="D24" s="7" t="s">
        <v>24</v>
      </c>
      <c r="E24" s="73"/>
      <c r="F24" s="133"/>
      <c r="G24" s="74">
        <v>1</v>
      </c>
      <c r="H24" s="136">
        <f t="shared" si="0"/>
        <v>0</v>
      </c>
      <c r="I24" s="76"/>
      <c r="J24" s="130"/>
      <c r="K24" s="77">
        <v>1</v>
      </c>
      <c r="L24" s="136">
        <f t="shared" si="1"/>
        <v>0</v>
      </c>
      <c r="M24" s="76"/>
      <c r="N24" s="137">
        <f t="shared" si="2"/>
        <v>0</v>
      </c>
      <c r="O24" s="79" t="str">
        <f t="shared" si="3"/>
        <v/>
      </c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</row>
    <row r="25" spans="2:29" x14ac:dyDescent="0.3">
      <c r="B25" s="9"/>
      <c r="C25" s="73"/>
      <c r="D25" s="7"/>
      <c r="E25" s="73"/>
      <c r="F25" s="134"/>
      <c r="G25" s="74">
        <v>1</v>
      </c>
      <c r="H25" s="136">
        <f t="shared" si="0"/>
        <v>0</v>
      </c>
      <c r="I25" s="76"/>
      <c r="J25" s="131"/>
      <c r="K25" s="77">
        <v>1</v>
      </c>
      <c r="L25" s="136">
        <f t="shared" si="1"/>
        <v>0</v>
      </c>
      <c r="M25" s="76"/>
      <c r="N25" s="137">
        <f t="shared" si="2"/>
        <v>0</v>
      </c>
      <c r="O25" s="79" t="str">
        <f t="shared" si="3"/>
        <v/>
      </c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</row>
    <row r="26" spans="2:29" x14ac:dyDescent="0.3">
      <c r="B26" s="9"/>
      <c r="C26" s="73"/>
      <c r="D26" s="7"/>
      <c r="E26" s="73"/>
      <c r="F26" s="134"/>
      <c r="G26" s="74">
        <v>1</v>
      </c>
      <c r="H26" s="136">
        <f t="shared" si="0"/>
        <v>0</v>
      </c>
      <c r="I26" s="76"/>
      <c r="J26" s="131"/>
      <c r="K26" s="77">
        <v>1</v>
      </c>
      <c r="L26" s="136">
        <f t="shared" si="1"/>
        <v>0</v>
      </c>
      <c r="M26" s="76"/>
      <c r="N26" s="137">
        <f t="shared" si="2"/>
        <v>0</v>
      </c>
      <c r="O26" s="79" t="str">
        <f t="shared" si="3"/>
        <v/>
      </c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</row>
    <row r="27" spans="2:29" x14ac:dyDescent="0.3">
      <c r="B27" s="10"/>
      <c r="C27" s="73"/>
      <c r="D27" s="7"/>
      <c r="E27" s="73"/>
      <c r="F27" s="134"/>
      <c r="G27" s="74">
        <v>1</v>
      </c>
      <c r="H27" s="136">
        <f t="shared" si="0"/>
        <v>0</v>
      </c>
      <c r="I27" s="76"/>
      <c r="J27" s="131"/>
      <c r="K27" s="77">
        <v>1</v>
      </c>
      <c r="L27" s="136">
        <f t="shared" si="1"/>
        <v>0</v>
      </c>
      <c r="M27" s="76"/>
      <c r="N27" s="137">
        <f t="shared" si="2"/>
        <v>0</v>
      </c>
      <c r="O27" s="79" t="str">
        <f t="shared" si="3"/>
        <v/>
      </c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</row>
    <row r="28" spans="2:29" x14ac:dyDescent="0.3">
      <c r="B28" s="10"/>
      <c r="C28" s="73"/>
      <c r="D28" s="7"/>
      <c r="E28" s="73"/>
      <c r="F28" s="134"/>
      <c r="G28" s="74">
        <v>1</v>
      </c>
      <c r="H28" s="136">
        <f t="shared" si="0"/>
        <v>0</v>
      </c>
      <c r="I28" s="76"/>
      <c r="J28" s="131"/>
      <c r="K28" s="77">
        <v>1</v>
      </c>
      <c r="L28" s="136">
        <f t="shared" si="1"/>
        <v>0</v>
      </c>
      <c r="M28" s="76"/>
      <c r="N28" s="137">
        <f t="shared" si="2"/>
        <v>0</v>
      </c>
      <c r="O28" s="79" t="str">
        <f t="shared" si="3"/>
        <v/>
      </c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</row>
    <row r="29" spans="2:29" x14ac:dyDescent="0.3">
      <c r="B29" s="73" t="s">
        <v>26</v>
      </c>
      <c r="C29" s="73"/>
      <c r="D29" s="7" t="s">
        <v>67</v>
      </c>
      <c r="E29" s="73"/>
      <c r="F29" s="135">
        <v>3.6776</v>
      </c>
      <c r="G29" s="74">
        <f>$F18</f>
        <v>100</v>
      </c>
      <c r="H29" s="136">
        <f t="shared" si="0"/>
        <v>367.76</v>
      </c>
      <c r="I29" s="76"/>
      <c r="J29" s="132">
        <v>4.6319999999999997</v>
      </c>
      <c r="K29" s="74">
        <f>$F18</f>
        <v>100</v>
      </c>
      <c r="L29" s="136">
        <f t="shared" si="1"/>
        <v>463.2</v>
      </c>
      <c r="M29" s="76"/>
      <c r="N29" s="137">
        <f t="shared" si="2"/>
        <v>95.44</v>
      </c>
      <c r="O29" s="79">
        <f t="shared" si="3"/>
        <v>0.25951707635414401</v>
      </c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</row>
    <row r="30" spans="2:29" x14ac:dyDescent="0.3">
      <c r="B30" s="73" t="s">
        <v>28</v>
      </c>
      <c r="C30" s="73"/>
      <c r="D30" s="7" t="s">
        <v>24</v>
      </c>
      <c r="E30" s="73"/>
      <c r="F30" s="135"/>
      <c r="G30" s="74">
        <v>1</v>
      </c>
      <c r="H30" s="136">
        <f t="shared" si="0"/>
        <v>0</v>
      </c>
      <c r="I30" s="76"/>
      <c r="J30" s="132"/>
      <c r="K30" s="74">
        <v>1</v>
      </c>
      <c r="L30" s="136">
        <f t="shared" si="1"/>
        <v>0</v>
      </c>
      <c r="M30" s="76"/>
      <c r="N30" s="137">
        <f t="shared" si="2"/>
        <v>0</v>
      </c>
      <c r="O30" s="79" t="str">
        <f t="shared" si="3"/>
        <v/>
      </c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</row>
    <row r="31" spans="2:29" x14ac:dyDescent="0.3">
      <c r="B31" s="73" t="s">
        <v>29</v>
      </c>
      <c r="C31" s="73"/>
      <c r="D31" s="7" t="s">
        <v>67</v>
      </c>
      <c r="E31" s="73"/>
      <c r="F31" s="135">
        <v>3.3E-3</v>
      </c>
      <c r="G31" s="74">
        <f>$F18</f>
        <v>100</v>
      </c>
      <c r="H31" s="136">
        <f t="shared" si="0"/>
        <v>0.33</v>
      </c>
      <c r="I31" s="76"/>
      <c r="J31" s="171">
        <v>0</v>
      </c>
      <c r="K31" s="74">
        <f>$F18</f>
        <v>100</v>
      </c>
      <c r="L31" s="136">
        <f t="shared" si="1"/>
        <v>0</v>
      </c>
      <c r="M31" s="76"/>
      <c r="N31" s="137">
        <f t="shared" si="2"/>
        <v>-0.33</v>
      </c>
      <c r="O31" s="79">
        <f t="shared" si="3"/>
        <v>-1</v>
      </c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</row>
    <row r="32" spans="2:29" x14ac:dyDescent="0.3">
      <c r="B32" s="11" t="s">
        <v>30</v>
      </c>
      <c r="C32" s="73"/>
      <c r="D32" s="7" t="s">
        <v>67</v>
      </c>
      <c r="E32" s="73"/>
      <c r="F32" s="135">
        <v>0.25109999999999999</v>
      </c>
      <c r="G32" s="74">
        <f>$F18</f>
        <v>100</v>
      </c>
      <c r="H32" s="136">
        <f t="shared" si="0"/>
        <v>25.11</v>
      </c>
      <c r="I32" s="76"/>
      <c r="J32" s="132"/>
      <c r="K32" s="74">
        <f>$F18</f>
        <v>100</v>
      </c>
      <c r="L32" s="136">
        <f t="shared" si="1"/>
        <v>0</v>
      </c>
      <c r="M32" s="76"/>
      <c r="N32" s="137">
        <f t="shared" si="2"/>
        <v>-25.11</v>
      </c>
      <c r="O32" s="79">
        <f t="shared" si="3"/>
        <v>-1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</row>
    <row r="33" spans="1:63" x14ac:dyDescent="0.3">
      <c r="B33" s="11" t="s">
        <v>31</v>
      </c>
      <c r="C33" s="73"/>
      <c r="D33" s="7" t="s">
        <v>67</v>
      </c>
      <c r="E33" s="73"/>
      <c r="F33" s="135">
        <v>-4.65E-2</v>
      </c>
      <c r="G33" s="74">
        <f>$F18</f>
        <v>100</v>
      </c>
      <c r="H33" s="136">
        <f t="shared" si="0"/>
        <v>-4.6500000000000004</v>
      </c>
      <c r="I33" s="76"/>
      <c r="J33" s="132"/>
      <c r="K33" s="74">
        <f>$F18</f>
        <v>100</v>
      </c>
      <c r="L33" s="136">
        <f t="shared" si="1"/>
        <v>0</v>
      </c>
      <c r="M33" s="76"/>
      <c r="N33" s="137">
        <f t="shared" si="2"/>
        <v>4.6500000000000004</v>
      </c>
      <c r="O33" s="79">
        <f t="shared" si="3"/>
        <v>-1</v>
      </c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</row>
    <row r="34" spans="1:63" x14ac:dyDescent="0.3">
      <c r="B34" s="11" t="s">
        <v>32</v>
      </c>
      <c r="C34" s="73"/>
      <c r="D34" s="7" t="s">
        <v>24</v>
      </c>
      <c r="E34" s="73"/>
      <c r="F34" s="135"/>
      <c r="G34" s="74">
        <v>1</v>
      </c>
      <c r="H34" s="136">
        <f t="shared" si="0"/>
        <v>0</v>
      </c>
      <c r="I34" s="76"/>
      <c r="J34" s="132"/>
      <c r="K34" s="74">
        <v>1</v>
      </c>
      <c r="L34" s="136">
        <f t="shared" si="1"/>
        <v>0</v>
      </c>
      <c r="M34" s="76"/>
      <c r="N34" s="137">
        <f t="shared" si="2"/>
        <v>0</v>
      </c>
      <c r="O34" s="79" t="str">
        <f t="shared" si="3"/>
        <v/>
      </c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</row>
    <row r="35" spans="1:63" x14ac:dyDescent="0.3">
      <c r="B35" s="12" t="str">
        <f>+Residential!$B$35</f>
        <v>Rate Rider for Disposition of Account 1576</v>
      </c>
      <c r="C35" s="73"/>
      <c r="D35" s="7" t="s">
        <v>67</v>
      </c>
      <c r="E35" s="73"/>
      <c r="F35" s="134"/>
      <c r="G35" s="74">
        <f>$F18</f>
        <v>100</v>
      </c>
      <c r="H35" s="136">
        <f t="shared" si="0"/>
        <v>0</v>
      </c>
      <c r="I35" s="76"/>
      <c r="J35" s="132">
        <v>-0.21049999999999999</v>
      </c>
      <c r="K35" s="74">
        <f>$F18</f>
        <v>100</v>
      </c>
      <c r="L35" s="136">
        <f t="shared" si="1"/>
        <v>-21.05</v>
      </c>
      <c r="M35" s="76"/>
      <c r="N35" s="137">
        <f t="shared" si="2"/>
        <v>-21.05</v>
      </c>
      <c r="O35" s="79" t="str">
        <f t="shared" si="3"/>
        <v/>
      </c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</row>
    <row r="36" spans="1:63" x14ac:dyDescent="0.3">
      <c r="B36" s="12" t="str">
        <f>+Residential!$B$36</f>
        <v xml:space="preserve">Rate Rider for Disposition of CGAAP CWIP differential </v>
      </c>
      <c r="C36" s="73"/>
      <c r="D36" s="7" t="s">
        <v>67</v>
      </c>
      <c r="E36" s="73"/>
      <c r="F36" s="134"/>
      <c r="G36" s="74">
        <f>$F18</f>
        <v>100</v>
      </c>
      <c r="H36" s="136">
        <f t="shared" si="0"/>
        <v>0</v>
      </c>
      <c r="I36" s="76"/>
      <c r="J36" s="132">
        <v>0.1138</v>
      </c>
      <c r="K36" s="74">
        <f>$F18</f>
        <v>100</v>
      </c>
      <c r="L36" s="136">
        <f t="shared" si="1"/>
        <v>11.379999999999999</v>
      </c>
      <c r="M36" s="76"/>
      <c r="N36" s="137">
        <f t="shared" si="2"/>
        <v>11.379999999999999</v>
      </c>
      <c r="O36" s="79" t="str">
        <f t="shared" si="3"/>
        <v/>
      </c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</row>
    <row r="37" spans="1:63" x14ac:dyDescent="0.3">
      <c r="B37" s="12" t="str">
        <f>+Residential!$B$37</f>
        <v xml:space="preserve">Rate Rider for Disposition of Incremental Capital Expenditures </v>
      </c>
      <c r="C37" s="73"/>
      <c r="D37" s="7" t="s">
        <v>67</v>
      </c>
      <c r="E37" s="73"/>
      <c r="F37" s="131"/>
      <c r="G37" s="74">
        <f>$F18</f>
        <v>100</v>
      </c>
      <c r="H37" s="136">
        <f t="shared" si="0"/>
        <v>0</v>
      </c>
      <c r="I37" s="76"/>
      <c r="J37" s="132">
        <v>6.8199999999999997E-2</v>
      </c>
      <c r="K37" s="74">
        <f>$F18</f>
        <v>100</v>
      </c>
      <c r="L37" s="136">
        <f t="shared" si="1"/>
        <v>6.8199999999999994</v>
      </c>
      <c r="M37" s="76"/>
      <c r="N37" s="137">
        <f t="shared" si="2"/>
        <v>6.8199999999999994</v>
      </c>
      <c r="O37" s="79" t="str">
        <f t="shared" si="3"/>
        <v/>
      </c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</row>
    <row r="38" spans="1:63" x14ac:dyDescent="0.3">
      <c r="B38" s="12"/>
      <c r="C38" s="73"/>
      <c r="D38" s="7"/>
      <c r="E38" s="73"/>
      <c r="F38" s="131"/>
      <c r="G38" s="74">
        <f>$F18</f>
        <v>100</v>
      </c>
      <c r="H38" s="136">
        <f t="shared" si="0"/>
        <v>0</v>
      </c>
      <c r="I38" s="76"/>
      <c r="J38" s="131"/>
      <c r="K38" s="74">
        <f>$F18</f>
        <v>100</v>
      </c>
      <c r="L38" s="136">
        <f t="shared" si="1"/>
        <v>0</v>
      </c>
      <c r="M38" s="76"/>
      <c r="N38" s="137">
        <f t="shared" si="2"/>
        <v>0</v>
      </c>
      <c r="O38" s="79" t="str">
        <f t="shared" si="3"/>
        <v/>
      </c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</row>
    <row r="39" spans="1:63" s="4" customFormat="1" x14ac:dyDescent="0.3">
      <c r="A39" s="60"/>
      <c r="B39" s="19" t="s">
        <v>33</v>
      </c>
      <c r="C39" s="20"/>
      <c r="D39" s="20"/>
      <c r="E39" s="20"/>
      <c r="F39" s="21"/>
      <c r="G39" s="22"/>
      <c r="H39" s="23">
        <f>SUM(H23:H38)</f>
        <v>507</v>
      </c>
      <c r="I39" s="13"/>
      <c r="J39" s="14"/>
      <c r="K39" s="24"/>
      <c r="L39" s="23">
        <f>SUM(L23:L38)</f>
        <v>578.80000000000007</v>
      </c>
      <c r="M39" s="13"/>
      <c r="N39" s="15">
        <f t="shared" si="2"/>
        <v>71.800000000000068</v>
      </c>
      <c r="O39" s="16">
        <f t="shared" si="3"/>
        <v>0.14161735700197253</v>
      </c>
      <c r="P39" s="60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</row>
    <row r="40" spans="1:63" x14ac:dyDescent="0.3">
      <c r="B40" s="17" t="s">
        <v>34</v>
      </c>
      <c r="C40" s="73"/>
      <c r="D40" s="7" t="s">
        <v>67</v>
      </c>
      <c r="E40" s="73"/>
      <c r="F40" s="135">
        <v>9.5299999999999996E-2</v>
      </c>
      <c r="G40" s="74">
        <f>$F18</f>
        <v>100</v>
      </c>
      <c r="H40" s="136">
        <f t="shared" ref="H40:H46" si="4">G40*F40</f>
        <v>9.5299999999999994</v>
      </c>
      <c r="I40" s="76"/>
      <c r="J40" s="132">
        <v>-0.52270000000000005</v>
      </c>
      <c r="K40" s="74">
        <f>$F18</f>
        <v>100</v>
      </c>
      <c r="L40" s="136">
        <f t="shared" ref="L40:L46" si="5">K40*J40</f>
        <v>-52.27</v>
      </c>
      <c r="M40" s="76"/>
      <c r="N40" s="137">
        <f t="shared" si="2"/>
        <v>-61.800000000000004</v>
      </c>
      <c r="O40" s="79">
        <f t="shared" si="3"/>
        <v>-6.4847848898216167</v>
      </c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</row>
    <row r="41" spans="1:63" x14ac:dyDescent="0.3">
      <c r="B41" s="17"/>
      <c r="C41" s="73"/>
      <c r="D41" s="7"/>
      <c r="E41" s="73"/>
      <c r="F41" s="8"/>
      <c r="G41" s="74">
        <f>$F18</f>
        <v>100</v>
      </c>
      <c r="H41" s="136">
        <f t="shared" si="4"/>
        <v>0</v>
      </c>
      <c r="I41" s="82"/>
      <c r="J41" s="8"/>
      <c r="K41" s="74">
        <f>$F18</f>
        <v>100</v>
      </c>
      <c r="L41" s="136">
        <f t="shared" si="5"/>
        <v>0</v>
      </c>
      <c r="M41" s="83"/>
      <c r="N41" s="137">
        <f t="shared" si="2"/>
        <v>0</v>
      </c>
      <c r="O41" s="79" t="str">
        <f t="shared" si="3"/>
        <v/>
      </c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</row>
    <row r="42" spans="1:63" x14ac:dyDescent="0.3">
      <c r="B42" s="17"/>
      <c r="C42" s="73"/>
      <c r="D42" s="7"/>
      <c r="E42" s="73"/>
      <c r="F42" s="8"/>
      <c r="G42" s="74">
        <f>$F18</f>
        <v>100</v>
      </c>
      <c r="H42" s="136">
        <f t="shared" si="4"/>
        <v>0</v>
      </c>
      <c r="I42" s="82"/>
      <c r="J42" s="8"/>
      <c r="K42" s="74">
        <f>$F18</f>
        <v>100</v>
      </c>
      <c r="L42" s="136">
        <f t="shared" si="5"/>
        <v>0</v>
      </c>
      <c r="M42" s="83"/>
      <c r="N42" s="137">
        <f t="shared" si="2"/>
        <v>0</v>
      </c>
      <c r="O42" s="79" t="str">
        <f t="shared" si="3"/>
        <v/>
      </c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</row>
    <row r="43" spans="1:63" x14ac:dyDescent="0.3">
      <c r="B43" s="17"/>
      <c r="C43" s="73"/>
      <c r="D43" s="7"/>
      <c r="E43" s="73"/>
      <c r="F43" s="8"/>
      <c r="G43" s="74">
        <f>$F18</f>
        <v>100</v>
      </c>
      <c r="H43" s="136">
        <f t="shared" si="4"/>
        <v>0</v>
      </c>
      <c r="I43" s="82"/>
      <c r="J43" s="8"/>
      <c r="K43" s="74">
        <f>$F18</f>
        <v>100</v>
      </c>
      <c r="L43" s="136">
        <f t="shared" si="5"/>
        <v>0</v>
      </c>
      <c r="M43" s="83"/>
      <c r="N43" s="137">
        <f t="shared" si="2"/>
        <v>0</v>
      </c>
      <c r="O43" s="79" t="str">
        <f t="shared" si="3"/>
        <v/>
      </c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</row>
    <row r="44" spans="1:63" x14ac:dyDescent="0.3">
      <c r="B44" s="80" t="s">
        <v>35</v>
      </c>
      <c r="C44" s="73"/>
      <c r="D44" s="7" t="s">
        <v>67</v>
      </c>
      <c r="E44" s="73"/>
      <c r="F44" s="135">
        <v>6.3799999999999996E-2</v>
      </c>
      <c r="G44" s="74">
        <f>$F18</f>
        <v>100</v>
      </c>
      <c r="H44" s="136">
        <f t="shared" si="4"/>
        <v>6.38</v>
      </c>
      <c r="I44" s="76"/>
      <c r="J44" s="132">
        <v>0.1313</v>
      </c>
      <c r="K44" s="74">
        <f>$F18</f>
        <v>100</v>
      </c>
      <c r="L44" s="136">
        <f t="shared" si="5"/>
        <v>13.13</v>
      </c>
      <c r="M44" s="76"/>
      <c r="N44" s="137">
        <f t="shared" si="2"/>
        <v>6.7500000000000009</v>
      </c>
      <c r="O44" s="79">
        <f t="shared" si="3"/>
        <v>1.0579937304075238</v>
      </c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</row>
    <row r="45" spans="1:63" x14ac:dyDescent="0.3">
      <c r="B45" s="80" t="s">
        <v>36</v>
      </c>
      <c r="C45" s="73"/>
      <c r="D45" s="7" t="s">
        <v>27</v>
      </c>
      <c r="E45" s="73"/>
      <c r="F45" s="138">
        <f>IF(ISBLANK(D16)=TRUE, 0, IF(D16="TOU", 0.64*$F55+0.18*$F56+0.18*$F57, IF(AND(D16="non-TOU", G59&gt;0), F59,F58)))</f>
        <v>8.7999999999999995E-2</v>
      </c>
      <c r="G45" s="18">
        <f>$F19*(1+$F74)-$F19</f>
        <v>1131.0000000000036</v>
      </c>
      <c r="H45" s="136">
        <f t="shared" si="4"/>
        <v>99.528000000000318</v>
      </c>
      <c r="I45" s="76"/>
      <c r="J45" s="138">
        <f>+F45</f>
        <v>8.7999999999999995E-2</v>
      </c>
      <c r="K45" s="18">
        <f>$F19*(1+$J74)-$F19</f>
        <v>1128.0000000000036</v>
      </c>
      <c r="L45" s="136">
        <f t="shared" si="5"/>
        <v>99.264000000000308</v>
      </c>
      <c r="M45" s="76"/>
      <c r="N45" s="137">
        <f t="shared" si="2"/>
        <v>-0.26400000000001</v>
      </c>
      <c r="O45" s="79">
        <f t="shared" si="3"/>
        <v>-2.6525198938992965E-3</v>
      </c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</row>
    <row r="46" spans="1:63" x14ac:dyDescent="0.3">
      <c r="B46" s="80" t="s">
        <v>37</v>
      </c>
      <c r="C46" s="73"/>
      <c r="D46" s="7" t="s">
        <v>24</v>
      </c>
      <c r="E46" s="73"/>
      <c r="F46" s="138">
        <v>0</v>
      </c>
      <c r="G46" s="74">
        <v>1</v>
      </c>
      <c r="H46" s="136">
        <f t="shared" si="4"/>
        <v>0</v>
      </c>
      <c r="I46" s="76"/>
      <c r="J46" s="138"/>
      <c r="K46" s="81">
        <v>1</v>
      </c>
      <c r="L46" s="136">
        <f t="shared" si="5"/>
        <v>0</v>
      </c>
      <c r="M46" s="76"/>
      <c r="N46" s="137">
        <f t="shared" si="2"/>
        <v>0</v>
      </c>
      <c r="O46" s="79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</row>
    <row r="47" spans="1:63" s="4" customFormat="1" x14ac:dyDescent="0.3">
      <c r="A47" s="60"/>
      <c r="B47" s="19" t="s">
        <v>38</v>
      </c>
      <c r="C47" s="20"/>
      <c r="D47" s="20"/>
      <c r="E47" s="20"/>
      <c r="F47" s="21"/>
      <c r="G47" s="22"/>
      <c r="H47" s="23">
        <f>SUM(H40:H46)+H39</f>
        <v>622.43800000000033</v>
      </c>
      <c r="I47" s="13"/>
      <c r="J47" s="22"/>
      <c r="K47" s="24"/>
      <c r="L47" s="23">
        <f>SUM(L40:L46)+L39</f>
        <v>638.92400000000043</v>
      </c>
      <c r="M47" s="13"/>
      <c r="N47" s="15">
        <f t="shared" si="2"/>
        <v>16.486000000000104</v>
      </c>
      <c r="O47" s="16">
        <f t="shared" ref="O47:O59" si="6">IF((H47)=0,"",(N47/H47))</f>
        <v>2.6486172116741098E-2</v>
      </c>
      <c r="P47" s="60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</row>
    <row r="48" spans="1:63" x14ac:dyDescent="0.3">
      <c r="B48" s="76" t="s">
        <v>39</v>
      </c>
      <c r="C48" s="76"/>
      <c r="D48" s="25" t="s">
        <v>67</v>
      </c>
      <c r="E48" s="76"/>
      <c r="F48" s="135">
        <v>2.7667000000000002</v>
      </c>
      <c r="G48" s="18">
        <f>F18*(1+F74)</f>
        <v>103.77000000000001</v>
      </c>
      <c r="H48" s="136">
        <f>G48*F48</f>
        <v>287.10045900000006</v>
      </c>
      <c r="I48" s="76"/>
      <c r="J48" s="135">
        <v>2.7441</v>
      </c>
      <c r="K48" s="18">
        <f>F18*(1+J74)</f>
        <v>103.76</v>
      </c>
      <c r="L48" s="136">
        <f>K48*J48</f>
        <v>284.72781600000002</v>
      </c>
      <c r="M48" s="76"/>
      <c r="N48" s="136">
        <f t="shared" si="2"/>
        <v>-2.3726430000000391</v>
      </c>
      <c r="O48" s="79">
        <f t="shared" si="6"/>
        <v>-8.2641560667098719E-3</v>
      </c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</row>
    <row r="49" spans="1:63" x14ac:dyDescent="0.3">
      <c r="B49" s="85" t="s">
        <v>40</v>
      </c>
      <c r="C49" s="76"/>
      <c r="D49" s="25" t="s">
        <v>67</v>
      </c>
      <c r="E49" s="76"/>
      <c r="F49" s="135">
        <v>1.8766</v>
      </c>
      <c r="G49" s="18">
        <f>G48</f>
        <v>103.77000000000001</v>
      </c>
      <c r="H49" s="136">
        <f>G49*F49</f>
        <v>194.73478200000002</v>
      </c>
      <c r="I49" s="76"/>
      <c r="J49" s="135">
        <v>1.8182</v>
      </c>
      <c r="K49" s="18">
        <f>K48</f>
        <v>103.76</v>
      </c>
      <c r="L49" s="136">
        <f>K49*J49</f>
        <v>188.65643200000002</v>
      </c>
      <c r="M49" s="76"/>
      <c r="N49" s="136">
        <f t="shared" si="2"/>
        <v>-6.0783500000000004</v>
      </c>
      <c r="O49" s="79">
        <f t="shared" si="6"/>
        <v>-3.1213478853510616E-2</v>
      </c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</row>
    <row r="50" spans="1:63" s="4" customFormat="1" x14ac:dyDescent="0.3">
      <c r="A50" s="60"/>
      <c r="B50" s="19" t="s">
        <v>41</v>
      </c>
      <c r="C50" s="20"/>
      <c r="D50" s="20"/>
      <c r="E50" s="20"/>
      <c r="F50" s="21"/>
      <c r="G50" s="22"/>
      <c r="H50" s="23">
        <f>SUM(H47:H49)</f>
        <v>1104.2732410000003</v>
      </c>
      <c r="I50" s="13"/>
      <c r="J50" s="26"/>
      <c r="K50" s="22"/>
      <c r="L50" s="23">
        <f>SUM(L47:L49)</f>
        <v>1112.3082480000005</v>
      </c>
      <c r="M50" s="13"/>
      <c r="N50" s="15">
        <f t="shared" si="2"/>
        <v>8.0350070000001779</v>
      </c>
      <c r="O50" s="16">
        <f t="shared" si="6"/>
        <v>7.2762851635559782E-3</v>
      </c>
      <c r="P50" s="60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</row>
    <row r="51" spans="1:63" x14ac:dyDescent="0.3">
      <c r="B51" s="86" t="s">
        <v>42</v>
      </c>
      <c r="C51" s="73"/>
      <c r="D51" s="7" t="s">
        <v>27</v>
      </c>
      <c r="E51" s="73"/>
      <c r="F51" s="135">
        <v>4.4000000000000003E-3</v>
      </c>
      <c r="G51" s="18">
        <f>F19*(1+F74)</f>
        <v>31131.000000000004</v>
      </c>
      <c r="H51" s="139">
        <f t="shared" ref="H51:H59" si="7">G51*F51</f>
        <v>136.97640000000001</v>
      </c>
      <c r="I51" s="76"/>
      <c r="J51" s="135">
        <f>+F51</f>
        <v>4.4000000000000003E-3</v>
      </c>
      <c r="K51" s="18">
        <f>F19*(1+J74)</f>
        <v>31128.000000000004</v>
      </c>
      <c r="L51" s="139">
        <f t="shared" ref="L51:L59" si="8">K51*J51</f>
        <v>136.96320000000003</v>
      </c>
      <c r="M51" s="76"/>
      <c r="N51" s="137">
        <f t="shared" si="2"/>
        <v>-1.3199999999983447E-2</v>
      </c>
      <c r="O51" s="87">
        <f t="shared" si="6"/>
        <v>-9.6366965404138567E-5</v>
      </c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</row>
    <row r="52" spans="1:63" x14ac:dyDescent="0.3">
      <c r="B52" s="86" t="s">
        <v>43</v>
      </c>
      <c r="C52" s="73"/>
      <c r="D52" s="7" t="s">
        <v>27</v>
      </c>
      <c r="E52" s="73"/>
      <c r="F52" s="135">
        <v>1.1999999999999999E-3</v>
      </c>
      <c r="G52" s="18">
        <f>+G51</f>
        <v>31131.000000000004</v>
      </c>
      <c r="H52" s="139">
        <f t="shared" si="7"/>
        <v>37.357199999999999</v>
      </c>
      <c r="I52" s="76"/>
      <c r="J52" s="135">
        <v>1.2999999999999999E-3</v>
      </c>
      <c r="K52" s="18">
        <f>+K51</f>
        <v>31128.000000000004</v>
      </c>
      <c r="L52" s="139">
        <f t="shared" si="8"/>
        <v>40.4664</v>
      </c>
      <c r="M52" s="76"/>
      <c r="N52" s="137">
        <f t="shared" si="2"/>
        <v>3.1092000000000013</v>
      </c>
      <c r="O52" s="87">
        <f t="shared" si="6"/>
        <v>8.3228935787478753E-2</v>
      </c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</row>
    <row r="53" spans="1:63" x14ac:dyDescent="0.3">
      <c r="B53" s="73" t="s">
        <v>44</v>
      </c>
      <c r="C53" s="73"/>
      <c r="D53" s="7" t="s">
        <v>24</v>
      </c>
      <c r="E53" s="73"/>
      <c r="F53" s="135">
        <v>0.25</v>
      </c>
      <c r="G53" s="81">
        <v>1</v>
      </c>
      <c r="H53" s="139">
        <f t="shared" si="7"/>
        <v>0.25</v>
      </c>
      <c r="I53" s="76"/>
      <c r="J53" s="135">
        <f>+F53</f>
        <v>0.25</v>
      </c>
      <c r="K53" s="77">
        <v>1</v>
      </c>
      <c r="L53" s="139">
        <f t="shared" si="8"/>
        <v>0.25</v>
      </c>
      <c r="M53" s="76"/>
      <c r="N53" s="137">
        <f t="shared" si="2"/>
        <v>0</v>
      </c>
      <c r="O53" s="87">
        <f t="shared" si="6"/>
        <v>0</v>
      </c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</row>
    <row r="54" spans="1:63" x14ac:dyDescent="0.3">
      <c r="B54" s="73" t="s">
        <v>45</v>
      </c>
      <c r="C54" s="73"/>
      <c r="D54" s="7" t="s">
        <v>27</v>
      </c>
      <c r="E54" s="73"/>
      <c r="F54" s="135">
        <v>7.0000000000000001E-3</v>
      </c>
      <c r="G54" s="84">
        <f>F19</f>
        <v>30000</v>
      </c>
      <c r="H54" s="139">
        <f t="shared" si="7"/>
        <v>210</v>
      </c>
      <c r="I54" s="76"/>
      <c r="J54" s="135">
        <f>+F54</f>
        <v>7.0000000000000001E-3</v>
      </c>
      <c r="K54" s="77">
        <f>F19</f>
        <v>30000</v>
      </c>
      <c r="L54" s="139">
        <f t="shared" si="8"/>
        <v>210</v>
      </c>
      <c r="M54" s="76"/>
      <c r="N54" s="137">
        <f t="shared" si="2"/>
        <v>0</v>
      </c>
      <c r="O54" s="87">
        <f t="shared" si="6"/>
        <v>0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</row>
    <row r="55" spans="1:63" x14ac:dyDescent="0.3">
      <c r="B55" s="80" t="s">
        <v>46</v>
      </c>
      <c r="C55" s="73"/>
      <c r="D55" s="7" t="s">
        <v>27</v>
      </c>
      <c r="E55" s="73"/>
      <c r="F55" s="138">
        <v>6.7000000000000004E-2</v>
      </c>
      <c r="G55" s="27">
        <f>0.64*$F19</f>
        <v>19200</v>
      </c>
      <c r="H55" s="139">
        <f t="shared" si="7"/>
        <v>1286.4000000000001</v>
      </c>
      <c r="I55" s="76"/>
      <c r="J55" s="138">
        <v>6.7000000000000004E-2</v>
      </c>
      <c r="K55" s="28">
        <f>G55</f>
        <v>19200</v>
      </c>
      <c r="L55" s="139">
        <f t="shared" si="8"/>
        <v>1286.4000000000001</v>
      </c>
      <c r="M55" s="76"/>
      <c r="N55" s="137">
        <f t="shared" si="2"/>
        <v>0</v>
      </c>
      <c r="O55" s="87">
        <f t="shared" si="6"/>
        <v>0</v>
      </c>
      <c r="Q55" s="126"/>
      <c r="R55" s="126"/>
      <c r="S55" s="127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</row>
    <row r="56" spans="1:63" x14ac:dyDescent="0.3">
      <c r="B56" s="80" t="s">
        <v>47</v>
      </c>
      <c r="C56" s="73"/>
      <c r="D56" s="7" t="s">
        <v>27</v>
      </c>
      <c r="E56" s="73"/>
      <c r="F56" s="138">
        <v>0.104</v>
      </c>
      <c r="G56" s="27">
        <f>0.18*$F19</f>
        <v>5400</v>
      </c>
      <c r="H56" s="139">
        <f t="shared" si="7"/>
        <v>561.6</v>
      </c>
      <c r="I56" s="76"/>
      <c r="J56" s="138">
        <v>0.104</v>
      </c>
      <c r="K56" s="28">
        <f>G56</f>
        <v>5400</v>
      </c>
      <c r="L56" s="139">
        <f t="shared" si="8"/>
        <v>561.6</v>
      </c>
      <c r="M56" s="76"/>
      <c r="N56" s="137">
        <f t="shared" si="2"/>
        <v>0</v>
      </c>
      <c r="O56" s="87">
        <f t="shared" si="6"/>
        <v>0</v>
      </c>
      <c r="Q56" s="126"/>
      <c r="R56" s="126"/>
      <c r="S56" s="127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</row>
    <row r="57" spans="1:63" x14ac:dyDescent="0.3">
      <c r="B57" s="64" t="s">
        <v>48</v>
      </c>
      <c r="C57" s="73"/>
      <c r="D57" s="7" t="s">
        <v>27</v>
      </c>
      <c r="E57" s="73"/>
      <c r="F57" s="138">
        <v>0.124</v>
      </c>
      <c r="G57" s="27">
        <f>0.18*$F19</f>
        <v>5400</v>
      </c>
      <c r="H57" s="139">
        <f t="shared" si="7"/>
        <v>669.6</v>
      </c>
      <c r="I57" s="76"/>
      <c r="J57" s="138">
        <v>0.124</v>
      </c>
      <c r="K57" s="28">
        <f>G57</f>
        <v>5400</v>
      </c>
      <c r="L57" s="139">
        <f t="shared" si="8"/>
        <v>669.6</v>
      </c>
      <c r="M57" s="76"/>
      <c r="N57" s="137">
        <f t="shared" si="2"/>
        <v>0</v>
      </c>
      <c r="O57" s="87">
        <f t="shared" si="6"/>
        <v>0</v>
      </c>
      <c r="Q57" s="126"/>
      <c r="R57" s="126"/>
      <c r="S57" s="127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</row>
    <row r="58" spans="1:63" s="92" customFormat="1" x14ac:dyDescent="0.25">
      <c r="B58" s="89" t="s">
        <v>49</v>
      </c>
      <c r="C58" s="90"/>
      <c r="D58" s="29" t="s">
        <v>27</v>
      </c>
      <c r="E58" s="90"/>
      <c r="F58" s="138">
        <v>7.4999999999999997E-2</v>
      </c>
      <c r="G58" s="30">
        <f>IF(AND($T$1=1, F19&gt;=750), 750, IF(AND($T$1=1, AND(F19&lt;750, F19&gt;=0)), F19, IF(AND($T$1=2, F19&gt;=750), 750, IF(AND($T$1=2, AND(F19&lt;750, F19&gt;=0)), F19))))</f>
        <v>750</v>
      </c>
      <c r="H58" s="139">
        <f t="shared" si="7"/>
        <v>56.25</v>
      </c>
      <c r="I58" s="91"/>
      <c r="J58" s="138">
        <v>7.4999999999999997E-2</v>
      </c>
      <c r="K58" s="31">
        <f>G58</f>
        <v>750</v>
      </c>
      <c r="L58" s="139">
        <f t="shared" si="8"/>
        <v>56.25</v>
      </c>
      <c r="M58" s="91"/>
      <c r="N58" s="140">
        <f t="shared" si="2"/>
        <v>0</v>
      </c>
      <c r="O58" s="87">
        <f t="shared" si="6"/>
        <v>0</v>
      </c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</row>
    <row r="59" spans="1:63" s="92" customFormat="1" ht="15" thickBot="1" x14ac:dyDescent="0.3">
      <c r="B59" s="89" t="s">
        <v>50</v>
      </c>
      <c r="C59" s="90"/>
      <c r="D59" s="29" t="s">
        <v>27</v>
      </c>
      <c r="E59" s="90"/>
      <c r="F59" s="138">
        <v>8.7999999999999995E-2</v>
      </c>
      <c r="G59" s="30">
        <f>IF(AND($T$1=1, F19&gt;=750), F19-750, IF(AND($T$1=1, AND(F19&lt;750, F19&gt;=0)), 0, IF(AND($T$1=2, F19&gt;=750), F19-750, IF(AND($T$1=2, AND(F19&lt;750, F19&gt;=0)), 0))))</f>
        <v>29250</v>
      </c>
      <c r="H59" s="139">
        <f t="shared" si="7"/>
        <v>2574</v>
      </c>
      <c r="I59" s="91"/>
      <c r="J59" s="138">
        <v>8.7999999999999995E-2</v>
      </c>
      <c r="K59" s="31">
        <f>G59</f>
        <v>29250</v>
      </c>
      <c r="L59" s="139">
        <f t="shared" si="8"/>
        <v>2574</v>
      </c>
      <c r="M59" s="91"/>
      <c r="N59" s="140">
        <f t="shared" si="2"/>
        <v>0</v>
      </c>
      <c r="O59" s="87">
        <f t="shared" si="6"/>
        <v>0</v>
      </c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</row>
    <row r="60" spans="1:63" s="4" customFormat="1" ht="15" thickBot="1" x14ac:dyDescent="0.35">
      <c r="A60" s="60"/>
      <c r="B60" s="32"/>
      <c r="C60" s="33"/>
      <c r="D60" s="124"/>
      <c r="E60" s="33"/>
      <c r="F60" s="35"/>
      <c r="G60" s="36"/>
      <c r="H60" s="122"/>
      <c r="I60" s="123"/>
      <c r="J60" s="35"/>
      <c r="K60" s="39"/>
      <c r="L60" s="122"/>
      <c r="M60" s="123"/>
      <c r="N60" s="40"/>
      <c r="O60" s="41"/>
      <c r="P60" s="60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</row>
    <row r="61" spans="1:63" x14ac:dyDescent="0.3">
      <c r="B61" s="93" t="s">
        <v>51</v>
      </c>
      <c r="C61" s="73"/>
      <c r="D61" s="73"/>
      <c r="E61" s="73"/>
      <c r="F61" s="94"/>
      <c r="G61" s="95"/>
      <c r="H61" s="141">
        <f>SUM(H51:H57,H50)</f>
        <v>4006.4568410000002</v>
      </c>
      <c r="I61" s="96"/>
      <c r="J61" s="97"/>
      <c r="K61" s="97"/>
      <c r="L61" s="144">
        <f>SUM(L51:L57,L50)</f>
        <v>4017.5878480000001</v>
      </c>
      <c r="M61" s="145"/>
      <c r="N61" s="146">
        <f>L61-H61</f>
        <v>11.131006999999954</v>
      </c>
      <c r="O61" s="98">
        <f>IF((H61)=0,"",(N61/H61))</f>
        <v>2.7782670428621631E-3</v>
      </c>
      <c r="Q61" s="126"/>
      <c r="R61" s="126"/>
      <c r="S61" s="127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</row>
    <row r="62" spans="1:63" x14ac:dyDescent="0.3">
      <c r="B62" s="99" t="s">
        <v>52</v>
      </c>
      <c r="C62" s="73"/>
      <c r="D62" s="73"/>
      <c r="E62" s="73"/>
      <c r="F62" s="100">
        <v>0.13</v>
      </c>
      <c r="G62" s="101"/>
      <c r="H62" s="142">
        <f>H61*F62</f>
        <v>520.83938933000002</v>
      </c>
      <c r="I62" s="102"/>
      <c r="J62" s="103">
        <v>0.13</v>
      </c>
      <c r="K62" s="102"/>
      <c r="L62" s="147">
        <f>L61*J62</f>
        <v>522.28642023999998</v>
      </c>
      <c r="M62" s="148"/>
      <c r="N62" s="149">
        <f>L62-H62</f>
        <v>1.4470309099999668</v>
      </c>
      <c r="O62" s="104">
        <f>IF((H62)=0,"",(N62/H62))</f>
        <v>2.7782670428621106E-3</v>
      </c>
      <c r="Q62" s="126"/>
      <c r="R62" s="126"/>
      <c r="S62" s="127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</row>
    <row r="63" spans="1:63" x14ac:dyDescent="0.3">
      <c r="B63" s="105" t="s">
        <v>53</v>
      </c>
      <c r="C63" s="73"/>
      <c r="D63" s="73"/>
      <c r="E63" s="73"/>
      <c r="F63" s="106"/>
      <c r="G63" s="101"/>
      <c r="H63" s="142">
        <f>H61+H62</f>
        <v>4527.2962303300001</v>
      </c>
      <c r="I63" s="102"/>
      <c r="J63" s="102"/>
      <c r="K63" s="102"/>
      <c r="L63" s="147">
        <f>L61+L62</f>
        <v>4539.8742682399998</v>
      </c>
      <c r="M63" s="148"/>
      <c r="N63" s="149">
        <f>L63-H63</f>
        <v>12.578037909999694</v>
      </c>
      <c r="O63" s="104">
        <f>IF((H63)=0,"",(N63/H63))</f>
        <v>2.7782670428621072E-3</v>
      </c>
      <c r="Q63" s="126"/>
      <c r="R63" s="126"/>
      <c r="S63" s="127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</row>
    <row r="64" spans="1:63" ht="14.4" customHeight="1" x14ac:dyDescent="0.3">
      <c r="B64" s="172" t="s">
        <v>54</v>
      </c>
      <c r="C64" s="172"/>
      <c r="D64" s="172"/>
      <c r="E64" s="73"/>
      <c r="F64" s="106"/>
      <c r="G64" s="101"/>
      <c r="H64" s="143">
        <v>0</v>
      </c>
      <c r="I64" s="102"/>
      <c r="J64" s="102"/>
      <c r="K64" s="102"/>
      <c r="L64" s="150">
        <v>0</v>
      </c>
      <c r="M64" s="148"/>
      <c r="N64" s="151">
        <f>L64-H64</f>
        <v>0</v>
      </c>
      <c r="O64" s="107" t="str">
        <f>IF((H64)=0,"",(N64/H64))</f>
        <v/>
      </c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</row>
    <row r="65" spans="1:63" s="4" customFormat="1" ht="15" thickBot="1" x14ac:dyDescent="0.35">
      <c r="A65" s="60"/>
      <c r="B65" s="173" t="s">
        <v>55</v>
      </c>
      <c r="C65" s="173"/>
      <c r="D65" s="173"/>
      <c r="E65" s="42"/>
      <c r="F65" s="43"/>
      <c r="G65" s="44"/>
      <c r="H65" s="45">
        <f>H63+H64</f>
        <v>4527.2962303300001</v>
      </c>
      <c r="I65" s="46"/>
      <c r="J65" s="46"/>
      <c r="K65" s="46"/>
      <c r="L65" s="47">
        <f>L63+L64</f>
        <v>4539.8742682399998</v>
      </c>
      <c r="M65" s="48"/>
      <c r="N65" s="49">
        <f>L65-H65</f>
        <v>12.578037909999694</v>
      </c>
      <c r="O65" s="50">
        <f>IF((H65)=0,"",(N65/H65))</f>
        <v>2.7782670428621072E-3</v>
      </c>
      <c r="P65" s="60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</row>
    <row r="66" spans="1:63" s="4" customFormat="1" ht="15" thickBot="1" x14ac:dyDescent="0.35">
      <c r="A66" s="60"/>
      <c r="B66" s="32"/>
      <c r="C66" s="33"/>
      <c r="D66" s="34"/>
      <c r="E66" s="33"/>
      <c r="F66" s="35"/>
      <c r="G66" s="36"/>
      <c r="H66" s="37"/>
      <c r="I66" s="38"/>
      <c r="J66" s="35"/>
      <c r="K66" s="39"/>
      <c r="L66" s="37"/>
      <c r="M66" s="123"/>
      <c r="N66" s="40"/>
      <c r="O66" s="41"/>
      <c r="P66" s="60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</row>
    <row r="67" spans="1:63" s="92" customFormat="1" ht="13.2" x14ac:dyDescent="0.25">
      <c r="B67" s="108" t="s">
        <v>56</v>
      </c>
      <c r="C67" s="90"/>
      <c r="D67" s="90"/>
      <c r="E67" s="90"/>
      <c r="F67" s="109"/>
      <c r="G67" s="110"/>
      <c r="H67" s="152">
        <f>SUM(H58:H59,H50,H51:H54)</f>
        <v>4119.1068410000007</v>
      </c>
      <c r="I67" s="111"/>
      <c r="J67" s="112"/>
      <c r="K67" s="112"/>
      <c r="L67" s="155">
        <f>SUM(L58:L59,L50,L51:L54)</f>
        <v>4130.2378480000007</v>
      </c>
      <c r="M67" s="156"/>
      <c r="N67" s="157">
        <f>L67-H67</f>
        <v>11.131006999999954</v>
      </c>
      <c r="O67" s="98">
        <f>IF((H67)=0,"",(N67/H67))</f>
        <v>2.7022865464926046E-3</v>
      </c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63" s="92" customFormat="1" ht="13.2" x14ac:dyDescent="0.25">
      <c r="B68" s="113" t="s">
        <v>52</v>
      </c>
      <c r="C68" s="90"/>
      <c r="D68" s="90"/>
      <c r="E68" s="90"/>
      <c r="F68" s="114">
        <v>0.13</v>
      </c>
      <c r="G68" s="110"/>
      <c r="H68" s="153">
        <f>H67*F68</f>
        <v>535.48388933000012</v>
      </c>
      <c r="I68" s="115"/>
      <c r="J68" s="116">
        <v>0.13</v>
      </c>
      <c r="K68" s="117"/>
      <c r="L68" s="158">
        <f>L67*J68</f>
        <v>536.93092024000009</v>
      </c>
      <c r="M68" s="159"/>
      <c r="N68" s="160">
        <f>L68-H68</f>
        <v>1.4470309099999668</v>
      </c>
      <c r="O68" s="104">
        <f>IF((H68)=0,"",(N68/H68))</f>
        <v>2.7022865464925534E-3</v>
      </c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63" s="92" customFormat="1" ht="13.2" x14ac:dyDescent="0.25">
      <c r="B69" s="118" t="s">
        <v>53</v>
      </c>
      <c r="C69" s="90"/>
      <c r="D69" s="90"/>
      <c r="E69" s="90"/>
      <c r="F69" s="119"/>
      <c r="G69" s="120"/>
      <c r="H69" s="153">
        <f>H67+H68</f>
        <v>4654.590730330001</v>
      </c>
      <c r="I69" s="115"/>
      <c r="J69" s="115"/>
      <c r="K69" s="115"/>
      <c r="L69" s="158">
        <f>L67+L68</f>
        <v>4667.1687682400006</v>
      </c>
      <c r="M69" s="159"/>
      <c r="N69" s="160">
        <f>L69-H69</f>
        <v>12.578037909999694</v>
      </c>
      <c r="O69" s="104">
        <f>IF((H69)=0,"",(N69/H69))</f>
        <v>2.7022865464925499E-3</v>
      </c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63" s="92" customFormat="1" ht="13.2" customHeight="1" x14ac:dyDescent="0.25">
      <c r="B70" s="174" t="s">
        <v>54</v>
      </c>
      <c r="C70" s="174"/>
      <c r="D70" s="174"/>
      <c r="E70" s="90"/>
      <c r="F70" s="119"/>
      <c r="G70" s="120"/>
      <c r="H70" s="154">
        <v>0</v>
      </c>
      <c r="I70" s="115"/>
      <c r="J70" s="115"/>
      <c r="K70" s="115"/>
      <c r="L70" s="161">
        <v>0</v>
      </c>
      <c r="M70" s="159"/>
      <c r="N70" s="162">
        <f>L70-H70</f>
        <v>0</v>
      </c>
      <c r="O70" s="107" t="str">
        <f>IF((H70)=0,"",(N70/H70))</f>
        <v/>
      </c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63" s="4" customFormat="1" ht="15" thickBot="1" x14ac:dyDescent="0.35">
      <c r="A71" s="60"/>
      <c r="B71" s="173" t="s">
        <v>57</v>
      </c>
      <c r="C71" s="173"/>
      <c r="D71" s="173"/>
      <c r="E71" s="42"/>
      <c r="F71" s="43"/>
      <c r="G71" s="44"/>
      <c r="H71" s="45">
        <f>SUM(H69:H70)</f>
        <v>4654.590730330001</v>
      </c>
      <c r="I71" s="46"/>
      <c r="J71" s="46"/>
      <c r="K71" s="46"/>
      <c r="L71" s="47">
        <f>SUM(L69:L70)</f>
        <v>4667.1687682400006</v>
      </c>
      <c r="M71" s="48"/>
      <c r="N71" s="49">
        <f>L71-H71</f>
        <v>12.578037909999694</v>
      </c>
      <c r="O71" s="50">
        <f>IF((H71)=0,"",(N71/H71))</f>
        <v>2.7022865464925499E-3</v>
      </c>
      <c r="P71" s="60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</row>
    <row r="72" spans="1:63" s="4" customFormat="1" ht="15" thickBot="1" x14ac:dyDescent="0.35">
      <c r="A72" s="60"/>
      <c r="B72" s="32"/>
      <c r="C72" s="33"/>
      <c r="D72" s="34"/>
      <c r="E72" s="33"/>
      <c r="F72" s="35"/>
      <c r="G72" s="36"/>
      <c r="H72" s="122"/>
      <c r="I72" s="123"/>
      <c r="J72" s="35"/>
      <c r="K72" s="39"/>
      <c r="L72" s="37"/>
      <c r="M72" s="123"/>
      <c r="N72" s="40"/>
      <c r="O72" s="41"/>
      <c r="P72" s="60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</row>
    <row r="73" spans="1:63" x14ac:dyDescent="0.3">
      <c r="L73" s="88"/>
    </row>
    <row r="74" spans="1:63" x14ac:dyDescent="0.3">
      <c r="B74" s="65" t="s">
        <v>58</v>
      </c>
      <c r="F74" s="51">
        <v>3.7699999999999997E-2</v>
      </c>
      <c r="J74" s="51">
        <f>+Residential!$J$74</f>
        <v>3.7600000000000001E-2</v>
      </c>
    </row>
    <row r="76" spans="1:63" x14ac:dyDescent="0.3">
      <c r="L76" s="56"/>
      <c r="M76" s="56"/>
      <c r="N76" s="56"/>
      <c r="O76" s="56"/>
      <c r="P76" s="56"/>
    </row>
    <row r="77" spans="1:63" ht="16.2" x14ac:dyDescent="0.3">
      <c r="A77" s="121" t="s">
        <v>59</v>
      </c>
    </row>
    <row r="79" spans="1:63" x14ac:dyDescent="0.3">
      <c r="A79" s="60" t="s">
        <v>60</v>
      </c>
    </row>
    <row r="80" spans="1:63" x14ac:dyDescent="0.3">
      <c r="A80" s="60" t="s">
        <v>61</v>
      </c>
    </row>
    <row r="82" spans="2:29" x14ac:dyDescent="0.3">
      <c r="B82" s="60" t="s">
        <v>62</v>
      </c>
    </row>
    <row r="85" spans="2:29" ht="18.75" customHeight="1" x14ac:dyDescent="0.3">
      <c r="B85" s="175" t="s">
        <v>6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56"/>
    </row>
    <row r="86" spans="2:29" ht="18.75" customHeight="1" x14ac:dyDescent="0.3">
      <c r="B86" s="175" t="s">
        <v>7</v>
      </c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56"/>
    </row>
    <row r="87" spans="2:29" ht="7.5" customHeight="1" x14ac:dyDescent="0.3">
      <c r="L87" s="56"/>
      <c r="M87" s="56"/>
      <c r="N87" s="56"/>
      <c r="O87" s="56"/>
      <c r="P87" s="56"/>
    </row>
    <row r="88" spans="2:29" ht="7.5" customHeight="1" x14ac:dyDescent="0.3">
      <c r="L88" s="56"/>
      <c r="M88" s="56"/>
      <c r="N88" s="56"/>
      <c r="O88" s="56"/>
      <c r="P88" s="56"/>
    </row>
    <row r="89" spans="2:29" ht="15.6" x14ac:dyDescent="0.3">
      <c r="B89" s="61" t="s">
        <v>8</v>
      </c>
      <c r="D89" s="185" t="s">
        <v>68</v>
      </c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</row>
    <row r="90" spans="2:29" ht="7.5" customHeight="1" x14ac:dyDescent="0.3">
      <c r="B90" s="62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</row>
    <row r="91" spans="2:29" ht="15.6" x14ac:dyDescent="0.3">
      <c r="B91" s="61" t="s">
        <v>9</v>
      </c>
      <c r="D91" s="5" t="s">
        <v>63</v>
      </c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</row>
    <row r="92" spans="2:29" ht="15.6" x14ac:dyDescent="0.3">
      <c r="B92" s="62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</row>
    <row r="93" spans="2:29" x14ac:dyDescent="0.3">
      <c r="B93" s="64"/>
      <c r="D93" s="65" t="s">
        <v>11</v>
      </c>
      <c r="E93" s="65"/>
      <c r="F93" s="6">
        <v>160</v>
      </c>
      <c r="G93" s="65" t="s">
        <v>64</v>
      </c>
    </row>
    <row r="94" spans="2:29" x14ac:dyDescent="0.3">
      <c r="B94" s="64"/>
      <c r="F94" s="6">
        <v>64000</v>
      </c>
      <c r="G94" s="65" t="s">
        <v>12</v>
      </c>
    </row>
    <row r="95" spans="2:29" x14ac:dyDescent="0.3">
      <c r="B95" s="64"/>
      <c r="D95" s="66"/>
      <c r="E95" s="66"/>
      <c r="F95" s="176" t="s">
        <v>13</v>
      </c>
      <c r="G95" s="177"/>
      <c r="H95" s="178"/>
      <c r="J95" s="176" t="s">
        <v>14</v>
      </c>
      <c r="K95" s="177"/>
      <c r="L95" s="178"/>
      <c r="N95" s="176" t="s">
        <v>15</v>
      </c>
      <c r="O95" s="178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</row>
    <row r="96" spans="2:29" x14ac:dyDescent="0.3">
      <c r="B96" s="64"/>
      <c r="D96" s="179" t="s">
        <v>16</v>
      </c>
      <c r="E96" s="67"/>
      <c r="F96" s="68" t="s">
        <v>17</v>
      </c>
      <c r="G96" s="68" t="s">
        <v>18</v>
      </c>
      <c r="H96" s="69" t="s">
        <v>19</v>
      </c>
      <c r="J96" s="68" t="s">
        <v>17</v>
      </c>
      <c r="K96" s="70" t="s">
        <v>18</v>
      </c>
      <c r="L96" s="69" t="s">
        <v>19</v>
      </c>
      <c r="N96" s="181" t="s">
        <v>20</v>
      </c>
      <c r="O96" s="183" t="s">
        <v>21</v>
      </c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</row>
    <row r="97" spans="2:29" x14ac:dyDescent="0.3">
      <c r="B97" s="64"/>
      <c r="D97" s="180"/>
      <c r="E97" s="67"/>
      <c r="F97" s="71" t="s">
        <v>22</v>
      </c>
      <c r="G97" s="71"/>
      <c r="H97" s="72" t="s">
        <v>22</v>
      </c>
      <c r="J97" s="71" t="s">
        <v>22</v>
      </c>
      <c r="K97" s="72"/>
      <c r="L97" s="72" t="s">
        <v>22</v>
      </c>
      <c r="N97" s="182"/>
      <c r="O97" s="184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</row>
    <row r="98" spans="2:29" x14ac:dyDescent="0.3">
      <c r="B98" s="73" t="s">
        <v>23</v>
      </c>
      <c r="C98" s="73"/>
      <c r="D98" s="7" t="s">
        <v>24</v>
      </c>
      <c r="E98" s="73"/>
      <c r="F98" s="129">
        <v>118.45</v>
      </c>
      <c r="G98" s="74">
        <v>1</v>
      </c>
      <c r="H98" s="75">
        <f t="shared" ref="H98:H113" si="9">G98*F98</f>
        <v>118.45</v>
      </c>
      <c r="I98" s="76"/>
      <c r="J98" s="129">
        <v>118.45</v>
      </c>
      <c r="K98" s="77">
        <v>1</v>
      </c>
      <c r="L98" s="75">
        <f t="shared" ref="L98:L113" si="10">K98*J98</f>
        <v>118.45</v>
      </c>
      <c r="M98" s="76"/>
      <c r="N98" s="78">
        <f t="shared" ref="N98:N134" si="11">L98-H98</f>
        <v>0</v>
      </c>
      <c r="O98" s="79">
        <f t="shared" ref="O98:O120" si="12">IF((H98)=0,"",(N98/H98))</f>
        <v>0</v>
      </c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</row>
    <row r="99" spans="2:29" x14ac:dyDescent="0.3">
      <c r="B99" s="73" t="s">
        <v>25</v>
      </c>
      <c r="C99" s="73"/>
      <c r="D99" s="7" t="s">
        <v>24</v>
      </c>
      <c r="E99" s="73"/>
      <c r="F99" s="133"/>
      <c r="G99" s="74">
        <v>1</v>
      </c>
      <c r="H99" s="136">
        <f t="shared" si="9"/>
        <v>0</v>
      </c>
      <c r="I99" s="76"/>
      <c r="J99" s="130"/>
      <c r="K99" s="77">
        <v>1</v>
      </c>
      <c r="L99" s="136">
        <f t="shared" si="10"/>
        <v>0</v>
      </c>
      <c r="M99" s="76"/>
      <c r="N99" s="137">
        <f t="shared" si="11"/>
        <v>0</v>
      </c>
      <c r="O99" s="79" t="str">
        <f t="shared" si="12"/>
        <v/>
      </c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</row>
    <row r="100" spans="2:29" x14ac:dyDescent="0.3">
      <c r="B100" s="9"/>
      <c r="C100" s="73"/>
      <c r="D100" s="7"/>
      <c r="E100" s="73"/>
      <c r="F100" s="134"/>
      <c r="G100" s="74">
        <v>1</v>
      </c>
      <c r="H100" s="136">
        <f t="shared" si="9"/>
        <v>0</v>
      </c>
      <c r="I100" s="76"/>
      <c r="J100" s="131"/>
      <c r="K100" s="77">
        <v>1</v>
      </c>
      <c r="L100" s="136">
        <f t="shared" si="10"/>
        <v>0</v>
      </c>
      <c r="M100" s="76"/>
      <c r="N100" s="137">
        <f t="shared" si="11"/>
        <v>0</v>
      </c>
      <c r="O100" s="79" t="str">
        <f t="shared" si="12"/>
        <v/>
      </c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</row>
    <row r="101" spans="2:29" x14ac:dyDescent="0.3">
      <c r="B101" s="9"/>
      <c r="C101" s="73"/>
      <c r="D101" s="7"/>
      <c r="E101" s="73"/>
      <c r="F101" s="134"/>
      <c r="G101" s="74">
        <v>1</v>
      </c>
      <c r="H101" s="136">
        <f t="shared" si="9"/>
        <v>0</v>
      </c>
      <c r="I101" s="76"/>
      <c r="J101" s="131"/>
      <c r="K101" s="77">
        <v>1</v>
      </c>
      <c r="L101" s="136">
        <f t="shared" si="10"/>
        <v>0</v>
      </c>
      <c r="M101" s="76"/>
      <c r="N101" s="137">
        <f t="shared" si="11"/>
        <v>0</v>
      </c>
      <c r="O101" s="79" t="str">
        <f t="shared" si="12"/>
        <v/>
      </c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</row>
    <row r="102" spans="2:29" x14ac:dyDescent="0.3">
      <c r="B102" s="10"/>
      <c r="C102" s="73"/>
      <c r="D102" s="7"/>
      <c r="E102" s="73"/>
      <c r="F102" s="134"/>
      <c r="G102" s="74">
        <v>1</v>
      </c>
      <c r="H102" s="136">
        <f t="shared" si="9"/>
        <v>0</v>
      </c>
      <c r="I102" s="76"/>
      <c r="J102" s="131"/>
      <c r="K102" s="77">
        <v>1</v>
      </c>
      <c r="L102" s="136">
        <f t="shared" si="10"/>
        <v>0</v>
      </c>
      <c r="M102" s="76"/>
      <c r="N102" s="137">
        <f t="shared" si="11"/>
        <v>0</v>
      </c>
      <c r="O102" s="79" t="str">
        <f t="shared" si="12"/>
        <v/>
      </c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</row>
    <row r="103" spans="2:29" x14ac:dyDescent="0.3">
      <c r="B103" s="10"/>
      <c r="C103" s="73"/>
      <c r="D103" s="7"/>
      <c r="E103" s="73"/>
      <c r="F103" s="134"/>
      <c r="G103" s="74">
        <v>1</v>
      </c>
      <c r="H103" s="136">
        <f t="shared" si="9"/>
        <v>0</v>
      </c>
      <c r="I103" s="76"/>
      <c r="J103" s="131"/>
      <c r="K103" s="77">
        <v>1</v>
      </c>
      <c r="L103" s="136">
        <f t="shared" si="10"/>
        <v>0</v>
      </c>
      <c r="M103" s="76"/>
      <c r="N103" s="137">
        <f t="shared" si="11"/>
        <v>0</v>
      </c>
      <c r="O103" s="79" t="str">
        <f t="shared" si="12"/>
        <v/>
      </c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</row>
    <row r="104" spans="2:29" x14ac:dyDescent="0.3">
      <c r="B104" s="73" t="s">
        <v>26</v>
      </c>
      <c r="C104" s="73"/>
      <c r="D104" s="7" t="s">
        <v>67</v>
      </c>
      <c r="E104" s="73"/>
      <c r="F104" s="135">
        <v>3.6776</v>
      </c>
      <c r="G104" s="74">
        <f>$F93</f>
        <v>160</v>
      </c>
      <c r="H104" s="136">
        <f t="shared" si="9"/>
        <v>588.41599999999994</v>
      </c>
      <c r="I104" s="76"/>
      <c r="J104" s="132">
        <v>4.6319999999999997</v>
      </c>
      <c r="K104" s="74">
        <f>$F93</f>
        <v>160</v>
      </c>
      <c r="L104" s="136">
        <f t="shared" si="10"/>
        <v>741.11999999999989</v>
      </c>
      <c r="M104" s="76"/>
      <c r="N104" s="137">
        <f t="shared" si="11"/>
        <v>152.70399999999995</v>
      </c>
      <c r="O104" s="79">
        <f t="shared" si="12"/>
        <v>0.25951707635414395</v>
      </c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</row>
    <row r="105" spans="2:29" x14ac:dyDescent="0.3">
      <c r="B105" s="73" t="s">
        <v>28</v>
      </c>
      <c r="C105" s="73"/>
      <c r="D105" s="7" t="s">
        <v>24</v>
      </c>
      <c r="E105" s="73"/>
      <c r="F105" s="135"/>
      <c r="G105" s="74">
        <v>1</v>
      </c>
      <c r="H105" s="136">
        <f t="shared" si="9"/>
        <v>0</v>
      </c>
      <c r="I105" s="76"/>
      <c r="J105" s="132"/>
      <c r="K105" s="74">
        <v>1</v>
      </c>
      <c r="L105" s="136">
        <f t="shared" si="10"/>
        <v>0</v>
      </c>
      <c r="M105" s="76"/>
      <c r="N105" s="137">
        <f t="shared" si="11"/>
        <v>0</v>
      </c>
      <c r="O105" s="79" t="str">
        <f t="shared" si="12"/>
        <v/>
      </c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</row>
    <row r="106" spans="2:29" x14ac:dyDescent="0.3">
      <c r="B106" s="73" t="s">
        <v>29</v>
      </c>
      <c r="C106" s="73"/>
      <c r="D106" s="7" t="s">
        <v>67</v>
      </c>
      <c r="E106" s="73"/>
      <c r="F106" s="135">
        <v>3.3E-3</v>
      </c>
      <c r="G106" s="74">
        <f>$F93</f>
        <v>160</v>
      </c>
      <c r="H106" s="136">
        <f t="shared" si="9"/>
        <v>0.52800000000000002</v>
      </c>
      <c r="I106" s="76"/>
      <c r="J106" s="171">
        <v>0</v>
      </c>
      <c r="K106" s="74">
        <f>$F93</f>
        <v>160</v>
      </c>
      <c r="L106" s="136">
        <f t="shared" si="10"/>
        <v>0</v>
      </c>
      <c r="M106" s="76"/>
      <c r="N106" s="137">
        <f t="shared" si="11"/>
        <v>-0.52800000000000002</v>
      </c>
      <c r="O106" s="79">
        <f t="shared" si="12"/>
        <v>-1</v>
      </c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</row>
    <row r="107" spans="2:29" x14ac:dyDescent="0.3">
      <c r="B107" s="11" t="s">
        <v>30</v>
      </c>
      <c r="C107" s="73"/>
      <c r="D107" s="7" t="s">
        <v>67</v>
      </c>
      <c r="E107" s="73"/>
      <c r="F107" s="135">
        <v>0.25109999999999999</v>
      </c>
      <c r="G107" s="74">
        <f>$F93</f>
        <v>160</v>
      </c>
      <c r="H107" s="136">
        <f t="shared" si="9"/>
        <v>40.176000000000002</v>
      </c>
      <c r="I107" s="76"/>
      <c r="J107" s="132"/>
      <c r="K107" s="74">
        <f>$F93</f>
        <v>160</v>
      </c>
      <c r="L107" s="136">
        <f t="shared" si="10"/>
        <v>0</v>
      </c>
      <c r="M107" s="76"/>
      <c r="N107" s="137">
        <f t="shared" si="11"/>
        <v>-40.176000000000002</v>
      </c>
      <c r="O107" s="79">
        <f t="shared" si="12"/>
        <v>-1</v>
      </c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</row>
    <row r="108" spans="2:29" x14ac:dyDescent="0.3">
      <c r="B108" s="11" t="s">
        <v>31</v>
      </c>
      <c r="C108" s="73"/>
      <c r="D108" s="7" t="s">
        <v>67</v>
      </c>
      <c r="E108" s="73"/>
      <c r="F108" s="135">
        <v>-4.65E-2</v>
      </c>
      <c r="G108" s="74">
        <f>$F93</f>
        <v>160</v>
      </c>
      <c r="H108" s="136">
        <f t="shared" si="9"/>
        <v>-7.4399999999999995</v>
      </c>
      <c r="I108" s="76"/>
      <c r="J108" s="132"/>
      <c r="K108" s="74">
        <f>$F93</f>
        <v>160</v>
      </c>
      <c r="L108" s="136">
        <f t="shared" si="10"/>
        <v>0</v>
      </c>
      <c r="M108" s="76"/>
      <c r="N108" s="137">
        <f t="shared" si="11"/>
        <v>7.4399999999999995</v>
      </c>
      <c r="O108" s="79">
        <f t="shared" si="12"/>
        <v>-1</v>
      </c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</row>
    <row r="109" spans="2:29" x14ac:dyDescent="0.3">
      <c r="B109" s="11" t="s">
        <v>32</v>
      </c>
      <c r="C109" s="73"/>
      <c r="D109" s="7" t="s">
        <v>24</v>
      </c>
      <c r="E109" s="73"/>
      <c r="F109" s="135"/>
      <c r="G109" s="74">
        <v>1</v>
      </c>
      <c r="H109" s="136">
        <f t="shared" si="9"/>
        <v>0</v>
      </c>
      <c r="I109" s="76"/>
      <c r="J109" s="132"/>
      <c r="K109" s="74">
        <v>1</v>
      </c>
      <c r="L109" s="136">
        <f t="shared" si="10"/>
        <v>0</v>
      </c>
      <c r="M109" s="76"/>
      <c r="N109" s="137">
        <f t="shared" si="11"/>
        <v>0</v>
      </c>
      <c r="O109" s="79" t="str">
        <f t="shared" si="12"/>
        <v/>
      </c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</row>
    <row r="110" spans="2:29" x14ac:dyDescent="0.3">
      <c r="B110" s="12" t="str">
        <f>+Residential!$B$35</f>
        <v>Rate Rider for Disposition of Account 1576</v>
      </c>
      <c r="C110" s="73"/>
      <c r="D110" s="7" t="s">
        <v>67</v>
      </c>
      <c r="E110" s="73"/>
      <c r="F110" s="134"/>
      <c r="G110" s="74">
        <f>$F93</f>
        <v>160</v>
      </c>
      <c r="H110" s="136">
        <f t="shared" si="9"/>
        <v>0</v>
      </c>
      <c r="I110" s="76"/>
      <c r="J110" s="132">
        <v>-0.21049999999999999</v>
      </c>
      <c r="K110" s="74">
        <f>$F93</f>
        <v>160</v>
      </c>
      <c r="L110" s="136">
        <f t="shared" si="10"/>
        <v>-33.68</v>
      </c>
      <c r="M110" s="76"/>
      <c r="N110" s="137">
        <f t="shared" si="11"/>
        <v>-33.68</v>
      </c>
      <c r="O110" s="79" t="str">
        <f t="shared" si="12"/>
        <v/>
      </c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</row>
    <row r="111" spans="2:29" x14ac:dyDescent="0.3">
      <c r="B111" s="12" t="str">
        <f>+Residential!$B$36</f>
        <v xml:space="preserve">Rate Rider for Disposition of CGAAP CWIP differential </v>
      </c>
      <c r="C111" s="73"/>
      <c r="D111" s="7" t="s">
        <v>67</v>
      </c>
      <c r="E111" s="73"/>
      <c r="F111" s="134"/>
      <c r="G111" s="74">
        <f>$F93</f>
        <v>160</v>
      </c>
      <c r="H111" s="136">
        <f t="shared" si="9"/>
        <v>0</v>
      </c>
      <c r="I111" s="76"/>
      <c r="J111" s="132">
        <v>0.1138</v>
      </c>
      <c r="K111" s="74">
        <f>$F93</f>
        <v>160</v>
      </c>
      <c r="L111" s="136">
        <f t="shared" si="10"/>
        <v>18.207999999999998</v>
      </c>
      <c r="M111" s="76"/>
      <c r="N111" s="137">
        <f t="shared" si="11"/>
        <v>18.207999999999998</v>
      </c>
      <c r="O111" s="79" t="str">
        <f t="shared" si="12"/>
        <v/>
      </c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</row>
    <row r="112" spans="2:29" x14ac:dyDescent="0.3">
      <c r="B112" s="12" t="str">
        <f>+Residential!$B$37</f>
        <v xml:space="preserve">Rate Rider for Disposition of Incremental Capital Expenditures </v>
      </c>
      <c r="C112" s="73"/>
      <c r="D112" s="7" t="s">
        <v>67</v>
      </c>
      <c r="E112" s="73"/>
      <c r="F112" s="131"/>
      <c r="G112" s="74">
        <f>$F93</f>
        <v>160</v>
      </c>
      <c r="H112" s="136">
        <f t="shared" si="9"/>
        <v>0</v>
      </c>
      <c r="I112" s="76"/>
      <c r="J112" s="132">
        <v>6.8199999999999997E-2</v>
      </c>
      <c r="K112" s="74">
        <f>$F93</f>
        <v>160</v>
      </c>
      <c r="L112" s="136">
        <f t="shared" si="10"/>
        <v>10.911999999999999</v>
      </c>
      <c r="M112" s="76"/>
      <c r="N112" s="137">
        <f t="shared" si="11"/>
        <v>10.911999999999999</v>
      </c>
      <c r="O112" s="79" t="str">
        <f t="shared" si="12"/>
        <v/>
      </c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</row>
    <row r="113" spans="1:63" x14ac:dyDescent="0.3">
      <c r="B113" s="12"/>
      <c r="C113" s="73"/>
      <c r="D113" s="7"/>
      <c r="E113" s="73"/>
      <c r="F113" s="131"/>
      <c r="G113" s="74">
        <f>$F93</f>
        <v>160</v>
      </c>
      <c r="H113" s="136">
        <f t="shared" si="9"/>
        <v>0</v>
      </c>
      <c r="I113" s="76"/>
      <c r="J113" s="131"/>
      <c r="K113" s="74">
        <f>$F93</f>
        <v>160</v>
      </c>
      <c r="L113" s="136">
        <f t="shared" si="10"/>
        <v>0</v>
      </c>
      <c r="M113" s="76"/>
      <c r="N113" s="137">
        <f t="shared" si="11"/>
        <v>0</v>
      </c>
      <c r="O113" s="79" t="str">
        <f t="shared" si="12"/>
        <v/>
      </c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</row>
    <row r="114" spans="1:63" s="4" customFormat="1" x14ac:dyDescent="0.3">
      <c r="A114" s="60"/>
      <c r="B114" s="19" t="s">
        <v>33</v>
      </c>
      <c r="C114" s="20"/>
      <c r="D114" s="20"/>
      <c r="E114" s="20"/>
      <c r="F114" s="21"/>
      <c r="G114" s="22"/>
      <c r="H114" s="23">
        <f>SUM(H98:H113)</f>
        <v>740.13</v>
      </c>
      <c r="I114" s="13"/>
      <c r="J114" s="14"/>
      <c r="K114" s="24"/>
      <c r="L114" s="23">
        <f>SUM(L98:L113)</f>
        <v>855.01</v>
      </c>
      <c r="M114" s="13"/>
      <c r="N114" s="15">
        <f t="shared" si="11"/>
        <v>114.88</v>
      </c>
      <c r="O114" s="16">
        <f t="shared" si="12"/>
        <v>0.15521597557185898</v>
      </c>
      <c r="P114" s="60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</row>
    <row r="115" spans="1:63" x14ac:dyDescent="0.3">
      <c r="B115" s="17" t="s">
        <v>34</v>
      </c>
      <c r="C115" s="73"/>
      <c r="D115" s="7" t="s">
        <v>67</v>
      </c>
      <c r="E115" s="73"/>
      <c r="F115" s="135">
        <v>9.5299999999999996E-2</v>
      </c>
      <c r="G115" s="74">
        <f>$F93</f>
        <v>160</v>
      </c>
      <c r="H115" s="136">
        <f t="shared" ref="H115:H121" si="13">G115*F115</f>
        <v>15.247999999999999</v>
      </c>
      <c r="I115" s="76"/>
      <c r="J115" s="132">
        <v>-0.52270000000000005</v>
      </c>
      <c r="K115" s="74">
        <f>$F93</f>
        <v>160</v>
      </c>
      <c r="L115" s="136">
        <f t="shared" ref="L115:L121" si="14">K115*J115</f>
        <v>-83.632000000000005</v>
      </c>
      <c r="M115" s="76"/>
      <c r="N115" s="137">
        <f t="shared" si="11"/>
        <v>-98.88000000000001</v>
      </c>
      <c r="O115" s="79">
        <f t="shared" si="12"/>
        <v>-6.4847848898216167</v>
      </c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</row>
    <row r="116" spans="1:63" x14ac:dyDescent="0.3">
      <c r="B116" s="17"/>
      <c r="C116" s="73"/>
      <c r="D116" s="7"/>
      <c r="E116" s="73"/>
      <c r="F116" s="8"/>
      <c r="G116" s="74">
        <f>$F93</f>
        <v>160</v>
      </c>
      <c r="H116" s="136">
        <f t="shared" si="13"/>
        <v>0</v>
      </c>
      <c r="I116" s="82"/>
      <c r="J116" s="8"/>
      <c r="K116" s="74">
        <f>$F93</f>
        <v>160</v>
      </c>
      <c r="L116" s="136">
        <f t="shared" si="14"/>
        <v>0</v>
      </c>
      <c r="M116" s="83"/>
      <c r="N116" s="137">
        <f t="shared" si="11"/>
        <v>0</v>
      </c>
      <c r="O116" s="79" t="str">
        <f t="shared" si="12"/>
        <v/>
      </c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</row>
    <row r="117" spans="1:63" x14ac:dyDescent="0.3">
      <c r="B117" s="17"/>
      <c r="C117" s="73"/>
      <c r="D117" s="7"/>
      <c r="E117" s="73"/>
      <c r="F117" s="8"/>
      <c r="G117" s="74">
        <f>$F93</f>
        <v>160</v>
      </c>
      <c r="H117" s="136">
        <f t="shared" si="13"/>
        <v>0</v>
      </c>
      <c r="I117" s="82"/>
      <c r="J117" s="8"/>
      <c r="K117" s="74">
        <f>$F93</f>
        <v>160</v>
      </c>
      <c r="L117" s="136">
        <f t="shared" si="14"/>
        <v>0</v>
      </c>
      <c r="M117" s="83"/>
      <c r="N117" s="137">
        <f t="shared" si="11"/>
        <v>0</v>
      </c>
      <c r="O117" s="79" t="str">
        <f t="shared" si="12"/>
        <v/>
      </c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</row>
    <row r="118" spans="1:63" x14ac:dyDescent="0.3">
      <c r="B118" s="17"/>
      <c r="C118" s="73"/>
      <c r="D118" s="7"/>
      <c r="E118" s="73"/>
      <c r="F118" s="8"/>
      <c r="G118" s="74">
        <f>$F93</f>
        <v>160</v>
      </c>
      <c r="H118" s="136">
        <f t="shared" si="13"/>
        <v>0</v>
      </c>
      <c r="I118" s="82"/>
      <c r="J118" s="8"/>
      <c r="K118" s="74">
        <f>$F93</f>
        <v>160</v>
      </c>
      <c r="L118" s="136">
        <f t="shared" si="14"/>
        <v>0</v>
      </c>
      <c r="M118" s="83"/>
      <c r="N118" s="137">
        <f t="shared" si="11"/>
        <v>0</v>
      </c>
      <c r="O118" s="79" t="str">
        <f t="shared" si="12"/>
        <v/>
      </c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</row>
    <row r="119" spans="1:63" x14ac:dyDescent="0.3">
      <c r="B119" s="80" t="s">
        <v>35</v>
      </c>
      <c r="C119" s="73"/>
      <c r="D119" s="7" t="s">
        <v>67</v>
      </c>
      <c r="E119" s="73"/>
      <c r="F119" s="135">
        <v>6.3799999999999996E-2</v>
      </c>
      <c r="G119" s="74">
        <f>$F93</f>
        <v>160</v>
      </c>
      <c r="H119" s="136">
        <f t="shared" si="13"/>
        <v>10.207999999999998</v>
      </c>
      <c r="I119" s="76"/>
      <c r="J119" s="132">
        <v>0.1313</v>
      </c>
      <c r="K119" s="74">
        <f>$F93</f>
        <v>160</v>
      </c>
      <c r="L119" s="136">
        <f t="shared" si="14"/>
        <v>21.007999999999999</v>
      </c>
      <c r="M119" s="76"/>
      <c r="N119" s="137">
        <f t="shared" si="11"/>
        <v>10.8</v>
      </c>
      <c r="O119" s="79">
        <f t="shared" si="12"/>
        <v>1.0579937304075238</v>
      </c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</row>
    <row r="120" spans="1:63" x14ac:dyDescent="0.3">
      <c r="B120" s="80" t="s">
        <v>36</v>
      </c>
      <c r="C120" s="73"/>
      <c r="D120" s="7" t="s">
        <v>27</v>
      </c>
      <c r="E120" s="73"/>
      <c r="F120" s="138">
        <f>IF(ISBLANK(D91)=TRUE, 0, IF(D91="TOU", 0.64*$F130+0.18*$F131+0.18*$F132, IF(AND(D91="non-TOU", G134&gt;0), F134,F133)))</f>
        <v>8.7999999999999995E-2</v>
      </c>
      <c r="G120" s="18">
        <f>$F94*(1+$F149)-$F94</f>
        <v>2412.8000000000029</v>
      </c>
      <c r="H120" s="136">
        <f t="shared" si="13"/>
        <v>212.32640000000023</v>
      </c>
      <c r="I120" s="76"/>
      <c r="J120" s="138">
        <f>+F120</f>
        <v>8.7999999999999995E-2</v>
      </c>
      <c r="K120" s="18">
        <f>$F94*(1+$J149)-$F94</f>
        <v>2406.4000000000087</v>
      </c>
      <c r="L120" s="136">
        <f t="shared" si="14"/>
        <v>211.76320000000075</v>
      </c>
      <c r="M120" s="76"/>
      <c r="N120" s="137">
        <f t="shared" si="11"/>
        <v>-0.56319999999948323</v>
      </c>
      <c r="O120" s="79">
        <f t="shared" si="12"/>
        <v>-2.6525198938967673E-3</v>
      </c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</row>
    <row r="121" spans="1:63" x14ac:dyDescent="0.3">
      <c r="B121" s="80" t="s">
        <v>37</v>
      </c>
      <c r="C121" s="73"/>
      <c r="D121" s="7" t="s">
        <v>24</v>
      </c>
      <c r="E121" s="73"/>
      <c r="F121" s="138">
        <v>0</v>
      </c>
      <c r="G121" s="74">
        <v>1</v>
      </c>
      <c r="H121" s="136">
        <f t="shared" si="13"/>
        <v>0</v>
      </c>
      <c r="I121" s="76"/>
      <c r="J121" s="138"/>
      <c r="K121" s="81">
        <v>1</v>
      </c>
      <c r="L121" s="136">
        <f t="shared" si="14"/>
        <v>0</v>
      </c>
      <c r="M121" s="76"/>
      <c r="N121" s="137">
        <f t="shared" si="11"/>
        <v>0</v>
      </c>
      <c r="O121" s="79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</row>
    <row r="122" spans="1:63" s="4" customFormat="1" x14ac:dyDescent="0.3">
      <c r="A122" s="60"/>
      <c r="B122" s="19" t="s">
        <v>38</v>
      </c>
      <c r="C122" s="20"/>
      <c r="D122" s="20"/>
      <c r="E122" s="20"/>
      <c r="F122" s="21"/>
      <c r="G122" s="22"/>
      <c r="H122" s="23">
        <f>SUM(H115:H121)+H114</f>
        <v>977.91240000000016</v>
      </c>
      <c r="I122" s="13"/>
      <c r="J122" s="22"/>
      <c r="K122" s="24"/>
      <c r="L122" s="23">
        <f>SUM(L115:L121)+L114</f>
        <v>1004.1492000000007</v>
      </c>
      <c r="M122" s="13"/>
      <c r="N122" s="15">
        <f t="shared" si="11"/>
        <v>26.236800000000585</v>
      </c>
      <c r="O122" s="16">
        <f t="shared" ref="O122:O134" si="15">IF((H122)=0,"",(N122/H122))</f>
        <v>2.6829396988933343E-2</v>
      </c>
      <c r="P122" s="60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</row>
    <row r="123" spans="1:63" x14ac:dyDescent="0.3">
      <c r="B123" s="76" t="s">
        <v>39</v>
      </c>
      <c r="C123" s="76"/>
      <c r="D123" s="25" t="s">
        <v>67</v>
      </c>
      <c r="E123" s="76"/>
      <c r="F123" s="135">
        <v>2.7667000000000002</v>
      </c>
      <c r="G123" s="18">
        <f>F93*(1+F149)</f>
        <v>166.03200000000001</v>
      </c>
      <c r="H123" s="136">
        <f>G123*F123</f>
        <v>459.36073440000007</v>
      </c>
      <c r="I123" s="76"/>
      <c r="J123" s="135">
        <f>+$J$48</f>
        <v>2.7441</v>
      </c>
      <c r="K123" s="18">
        <f>F93*(1+J149)</f>
        <v>166.01600000000002</v>
      </c>
      <c r="L123" s="136">
        <f>K123*J123</f>
        <v>455.56450560000007</v>
      </c>
      <c r="M123" s="76"/>
      <c r="N123" s="136">
        <f t="shared" si="11"/>
        <v>-3.7962287999999944</v>
      </c>
      <c r="O123" s="79">
        <f t="shared" si="15"/>
        <v>-8.2641560667097227E-3</v>
      </c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</row>
    <row r="124" spans="1:63" x14ac:dyDescent="0.3">
      <c r="B124" s="85" t="s">
        <v>40</v>
      </c>
      <c r="C124" s="76"/>
      <c r="D124" s="25" t="s">
        <v>67</v>
      </c>
      <c r="E124" s="76"/>
      <c r="F124" s="135">
        <v>1.8766</v>
      </c>
      <c r="G124" s="18">
        <f>G123</f>
        <v>166.03200000000001</v>
      </c>
      <c r="H124" s="136">
        <f>G124*F124</f>
        <v>311.57565120000004</v>
      </c>
      <c r="I124" s="76"/>
      <c r="J124" s="135">
        <f>+$J$49</f>
        <v>1.8182</v>
      </c>
      <c r="K124" s="18">
        <f>K123</f>
        <v>166.01600000000002</v>
      </c>
      <c r="L124" s="136">
        <f>K124*J124</f>
        <v>301.85029120000002</v>
      </c>
      <c r="M124" s="76"/>
      <c r="N124" s="136">
        <f t="shared" si="11"/>
        <v>-9.7253600000000233</v>
      </c>
      <c r="O124" s="79">
        <f t="shared" si="15"/>
        <v>-3.1213478853510689E-2</v>
      </c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</row>
    <row r="125" spans="1:63" s="4" customFormat="1" x14ac:dyDescent="0.3">
      <c r="A125" s="60"/>
      <c r="B125" s="19" t="s">
        <v>41</v>
      </c>
      <c r="C125" s="20"/>
      <c r="D125" s="20"/>
      <c r="E125" s="20"/>
      <c r="F125" s="21"/>
      <c r="G125" s="22"/>
      <c r="H125" s="23">
        <f>SUM(H122:H124)</f>
        <v>1748.8487856000004</v>
      </c>
      <c r="I125" s="13"/>
      <c r="J125" s="26"/>
      <c r="K125" s="22"/>
      <c r="L125" s="23">
        <f>SUM(L122:L124)</f>
        <v>1761.563996800001</v>
      </c>
      <c r="M125" s="13"/>
      <c r="N125" s="15">
        <f t="shared" si="11"/>
        <v>12.715211200000567</v>
      </c>
      <c r="O125" s="16">
        <f t="shared" si="15"/>
        <v>7.2706178514102887E-3</v>
      </c>
      <c r="P125" s="60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</row>
    <row r="126" spans="1:63" x14ac:dyDescent="0.3">
      <c r="B126" s="86" t="s">
        <v>42</v>
      </c>
      <c r="C126" s="73"/>
      <c r="D126" s="7" t="s">
        <v>27</v>
      </c>
      <c r="E126" s="73"/>
      <c r="F126" s="135">
        <v>4.4000000000000003E-3</v>
      </c>
      <c r="G126" s="18">
        <f>F94*(1+F149)</f>
        <v>66412.800000000003</v>
      </c>
      <c r="H126" s="139">
        <f t="shared" ref="H126:H134" si="16">G126*F126</f>
        <v>292.21632000000005</v>
      </c>
      <c r="I126" s="76"/>
      <c r="J126" s="135">
        <f>+F126</f>
        <v>4.4000000000000003E-3</v>
      </c>
      <c r="K126" s="18">
        <f>F94*(1+J149)</f>
        <v>66406.400000000009</v>
      </c>
      <c r="L126" s="139">
        <f t="shared" ref="L126:L134" si="17">K126*J126</f>
        <v>292.18816000000004</v>
      </c>
      <c r="M126" s="76"/>
      <c r="N126" s="137">
        <f t="shared" si="11"/>
        <v>-2.8160000000013952E-2</v>
      </c>
      <c r="O126" s="87">
        <f t="shared" si="15"/>
        <v>-9.6366965404307147E-5</v>
      </c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</row>
    <row r="127" spans="1:63" x14ac:dyDescent="0.3">
      <c r="B127" s="86" t="s">
        <v>43</v>
      </c>
      <c r="C127" s="73"/>
      <c r="D127" s="7" t="s">
        <v>27</v>
      </c>
      <c r="E127" s="73"/>
      <c r="F127" s="135">
        <v>1.1999999999999999E-3</v>
      </c>
      <c r="G127" s="18">
        <f>+G126</f>
        <v>66412.800000000003</v>
      </c>
      <c r="H127" s="139">
        <f t="shared" si="16"/>
        <v>79.695359999999994</v>
      </c>
      <c r="I127" s="76"/>
      <c r="J127" s="135">
        <v>1.2999999999999999E-3</v>
      </c>
      <c r="K127" s="18">
        <f>+K126</f>
        <v>66406.400000000009</v>
      </c>
      <c r="L127" s="139">
        <f t="shared" si="17"/>
        <v>86.328320000000005</v>
      </c>
      <c r="M127" s="76"/>
      <c r="N127" s="137">
        <f t="shared" si="11"/>
        <v>6.6329600000000113</v>
      </c>
      <c r="O127" s="87">
        <f t="shared" si="15"/>
        <v>8.3228935787478864E-2</v>
      </c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</row>
    <row r="128" spans="1:63" x14ac:dyDescent="0.3">
      <c r="B128" s="73" t="s">
        <v>44</v>
      </c>
      <c r="C128" s="73"/>
      <c r="D128" s="7" t="s">
        <v>24</v>
      </c>
      <c r="E128" s="73"/>
      <c r="F128" s="135">
        <v>0.25</v>
      </c>
      <c r="G128" s="81">
        <v>1</v>
      </c>
      <c r="H128" s="139">
        <f t="shared" si="16"/>
        <v>0.25</v>
      </c>
      <c r="I128" s="76"/>
      <c r="J128" s="135">
        <f>+F128</f>
        <v>0.25</v>
      </c>
      <c r="K128" s="77">
        <v>1</v>
      </c>
      <c r="L128" s="139">
        <f t="shared" si="17"/>
        <v>0.25</v>
      </c>
      <c r="M128" s="76"/>
      <c r="N128" s="137">
        <f t="shared" si="11"/>
        <v>0</v>
      </c>
      <c r="O128" s="87">
        <f t="shared" si="15"/>
        <v>0</v>
      </c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</row>
    <row r="129" spans="1:63" x14ac:dyDescent="0.3">
      <c r="B129" s="73" t="s">
        <v>45</v>
      </c>
      <c r="C129" s="73"/>
      <c r="D129" s="7" t="s">
        <v>27</v>
      </c>
      <c r="E129" s="73"/>
      <c r="F129" s="135">
        <v>7.0000000000000001E-3</v>
      </c>
      <c r="G129" s="84">
        <f>F94</f>
        <v>64000</v>
      </c>
      <c r="H129" s="139">
        <f t="shared" si="16"/>
        <v>448</v>
      </c>
      <c r="I129" s="76"/>
      <c r="J129" s="135">
        <f>+F129</f>
        <v>7.0000000000000001E-3</v>
      </c>
      <c r="K129" s="77">
        <f>F94</f>
        <v>64000</v>
      </c>
      <c r="L129" s="139">
        <f t="shared" si="17"/>
        <v>448</v>
      </c>
      <c r="M129" s="76"/>
      <c r="N129" s="137">
        <f t="shared" si="11"/>
        <v>0</v>
      </c>
      <c r="O129" s="87">
        <f t="shared" si="15"/>
        <v>0</v>
      </c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</row>
    <row r="130" spans="1:63" x14ac:dyDescent="0.3">
      <c r="B130" s="80" t="s">
        <v>46</v>
      </c>
      <c r="C130" s="73"/>
      <c r="D130" s="7" t="s">
        <v>27</v>
      </c>
      <c r="E130" s="73"/>
      <c r="F130" s="138">
        <v>6.7000000000000004E-2</v>
      </c>
      <c r="G130" s="27">
        <f>0.64*$F94</f>
        <v>40960</v>
      </c>
      <c r="H130" s="139">
        <f t="shared" si="16"/>
        <v>2744.32</v>
      </c>
      <c r="I130" s="76"/>
      <c r="J130" s="138">
        <v>6.7000000000000004E-2</v>
      </c>
      <c r="K130" s="28">
        <f>G130</f>
        <v>40960</v>
      </c>
      <c r="L130" s="139">
        <f t="shared" si="17"/>
        <v>2744.32</v>
      </c>
      <c r="M130" s="76"/>
      <c r="N130" s="137">
        <f t="shared" si="11"/>
        <v>0</v>
      </c>
      <c r="O130" s="87">
        <f t="shared" si="15"/>
        <v>0</v>
      </c>
      <c r="Q130" s="126"/>
      <c r="R130" s="126"/>
      <c r="S130" s="127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</row>
    <row r="131" spans="1:63" x14ac:dyDescent="0.3">
      <c r="B131" s="80" t="s">
        <v>47</v>
      </c>
      <c r="C131" s="73"/>
      <c r="D131" s="7" t="s">
        <v>27</v>
      </c>
      <c r="E131" s="73"/>
      <c r="F131" s="138">
        <v>0.104</v>
      </c>
      <c r="G131" s="27">
        <f>0.18*$F94</f>
        <v>11520</v>
      </c>
      <c r="H131" s="139">
        <f t="shared" si="16"/>
        <v>1198.08</v>
      </c>
      <c r="I131" s="76"/>
      <c r="J131" s="138">
        <v>0.104</v>
      </c>
      <c r="K131" s="28">
        <f>G131</f>
        <v>11520</v>
      </c>
      <c r="L131" s="139">
        <f t="shared" si="17"/>
        <v>1198.08</v>
      </c>
      <c r="M131" s="76"/>
      <c r="N131" s="137">
        <f t="shared" si="11"/>
        <v>0</v>
      </c>
      <c r="O131" s="87">
        <f t="shared" si="15"/>
        <v>0</v>
      </c>
      <c r="Q131" s="126"/>
      <c r="R131" s="126"/>
      <c r="S131" s="127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</row>
    <row r="132" spans="1:63" x14ac:dyDescent="0.3">
      <c r="B132" s="64" t="s">
        <v>48</v>
      </c>
      <c r="C132" s="73"/>
      <c r="D132" s="7" t="s">
        <v>27</v>
      </c>
      <c r="E132" s="73"/>
      <c r="F132" s="138">
        <v>0.124</v>
      </c>
      <c r="G132" s="27">
        <f>0.18*$F94</f>
        <v>11520</v>
      </c>
      <c r="H132" s="139">
        <f t="shared" si="16"/>
        <v>1428.48</v>
      </c>
      <c r="I132" s="76"/>
      <c r="J132" s="138">
        <v>0.124</v>
      </c>
      <c r="K132" s="28">
        <f>G132</f>
        <v>11520</v>
      </c>
      <c r="L132" s="139">
        <f t="shared" si="17"/>
        <v>1428.48</v>
      </c>
      <c r="M132" s="76"/>
      <c r="N132" s="137">
        <f t="shared" si="11"/>
        <v>0</v>
      </c>
      <c r="O132" s="87">
        <f t="shared" si="15"/>
        <v>0</v>
      </c>
      <c r="Q132" s="126"/>
      <c r="R132" s="126"/>
      <c r="S132" s="127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</row>
    <row r="133" spans="1:63" s="92" customFormat="1" x14ac:dyDescent="0.25">
      <c r="B133" s="89" t="s">
        <v>49</v>
      </c>
      <c r="C133" s="90"/>
      <c r="D133" s="29" t="s">
        <v>27</v>
      </c>
      <c r="E133" s="90"/>
      <c r="F133" s="138">
        <v>7.4999999999999997E-2</v>
      </c>
      <c r="G133" s="30">
        <f>IF(AND($T$1=1, F94&gt;=750), 750, IF(AND($T$1=1, AND(F94&lt;750, F94&gt;=0)), F94, IF(AND($T$1=2, F94&gt;=750), 750, IF(AND($T$1=2, AND(F94&lt;750, F94&gt;=0)), F94))))</f>
        <v>750</v>
      </c>
      <c r="H133" s="139">
        <f t="shared" si="16"/>
        <v>56.25</v>
      </c>
      <c r="I133" s="91"/>
      <c r="J133" s="138">
        <v>7.4999999999999997E-2</v>
      </c>
      <c r="K133" s="31">
        <f>G133</f>
        <v>750</v>
      </c>
      <c r="L133" s="139">
        <f t="shared" si="17"/>
        <v>56.25</v>
      </c>
      <c r="M133" s="91"/>
      <c r="N133" s="140">
        <f t="shared" si="11"/>
        <v>0</v>
      </c>
      <c r="O133" s="87">
        <f t="shared" si="15"/>
        <v>0</v>
      </c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</row>
    <row r="134" spans="1:63" s="92" customFormat="1" ht="15" thickBot="1" x14ac:dyDescent="0.3">
      <c r="B134" s="89" t="s">
        <v>50</v>
      </c>
      <c r="C134" s="90"/>
      <c r="D134" s="29" t="s">
        <v>27</v>
      </c>
      <c r="E134" s="90"/>
      <c r="F134" s="138">
        <v>8.7999999999999995E-2</v>
      </c>
      <c r="G134" s="30">
        <f>IF(AND($T$1=1, F94&gt;=750), F94-750, IF(AND($T$1=1, AND(F94&lt;750, F94&gt;=0)), 0, IF(AND($T$1=2, F94&gt;=750), F94-750, IF(AND($T$1=2, AND(F94&lt;750, F94&gt;=0)), 0))))</f>
        <v>63250</v>
      </c>
      <c r="H134" s="139">
        <f t="shared" si="16"/>
        <v>5566</v>
      </c>
      <c r="I134" s="91"/>
      <c r="J134" s="138">
        <v>8.7999999999999995E-2</v>
      </c>
      <c r="K134" s="31">
        <f>G134</f>
        <v>63250</v>
      </c>
      <c r="L134" s="139">
        <f t="shared" si="17"/>
        <v>5566</v>
      </c>
      <c r="M134" s="91"/>
      <c r="N134" s="140">
        <f t="shared" si="11"/>
        <v>0</v>
      </c>
      <c r="O134" s="87">
        <f t="shared" si="15"/>
        <v>0</v>
      </c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</row>
    <row r="135" spans="1:63" s="4" customFormat="1" ht="15" thickBot="1" x14ac:dyDescent="0.35">
      <c r="A135" s="60"/>
      <c r="B135" s="32"/>
      <c r="C135" s="33"/>
      <c r="D135" s="124"/>
      <c r="E135" s="33"/>
      <c r="F135" s="35"/>
      <c r="G135" s="36"/>
      <c r="H135" s="122"/>
      <c r="I135" s="123"/>
      <c r="J135" s="35"/>
      <c r="K135" s="39"/>
      <c r="L135" s="122"/>
      <c r="M135" s="123"/>
      <c r="N135" s="40"/>
      <c r="O135" s="41"/>
      <c r="P135" s="60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</row>
    <row r="136" spans="1:63" x14ac:dyDescent="0.3">
      <c r="B136" s="93" t="s">
        <v>51</v>
      </c>
      <c r="C136" s="73"/>
      <c r="D136" s="73"/>
      <c r="E136" s="73"/>
      <c r="F136" s="94"/>
      <c r="G136" s="95"/>
      <c r="H136" s="141">
        <f>SUM(H126:H132,H125)</f>
        <v>7939.8904656000004</v>
      </c>
      <c r="I136" s="96"/>
      <c r="J136" s="97"/>
      <c r="K136" s="97"/>
      <c r="L136" s="144">
        <f>SUM(L126:L132,L125)</f>
        <v>7959.2104768000008</v>
      </c>
      <c r="M136" s="145"/>
      <c r="N136" s="146">
        <f>L136-H136</f>
        <v>19.320011200000408</v>
      </c>
      <c r="O136" s="98">
        <f>IF((H136)=0,"",(N136/H136))</f>
        <v>2.4332843486576279E-3</v>
      </c>
      <c r="Q136" s="126"/>
      <c r="R136" s="126"/>
      <c r="S136" s="127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</row>
    <row r="137" spans="1:63" x14ac:dyDescent="0.3">
      <c r="B137" s="99" t="s">
        <v>52</v>
      </c>
      <c r="C137" s="73"/>
      <c r="D137" s="73"/>
      <c r="E137" s="73"/>
      <c r="F137" s="100">
        <v>0.13</v>
      </c>
      <c r="G137" s="101"/>
      <c r="H137" s="142">
        <f>H136*F137</f>
        <v>1032.1857605280002</v>
      </c>
      <c r="I137" s="102"/>
      <c r="J137" s="103">
        <v>0.13</v>
      </c>
      <c r="K137" s="102"/>
      <c r="L137" s="147">
        <f>L136*J137</f>
        <v>1034.6973619840001</v>
      </c>
      <c r="M137" s="148"/>
      <c r="N137" s="149">
        <f>L137-H137</f>
        <v>2.5116014559998803</v>
      </c>
      <c r="O137" s="104">
        <f>IF((H137)=0,"",(N137/H137))</f>
        <v>2.4332843486574605E-3</v>
      </c>
      <c r="Q137" s="126"/>
      <c r="R137" s="126"/>
      <c r="S137" s="127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</row>
    <row r="138" spans="1:63" x14ac:dyDescent="0.3">
      <c r="B138" s="105" t="s">
        <v>53</v>
      </c>
      <c r="C138" s="73"/>
      <c r="D138" s="73"/>
      <c r="E138" s="73"/>
      <c r="F138" s="106"/>
      <c r="G138" s="101"/>
      <c r="H138" s="142">
        <f>H136+H137</f>
        <v>8972.0762261279997</v>
      </c>
      <c r="I138" s="102"/>
      <c r="J138" s="102"/>
      <c r="K138" s="102"/>
      <c r="L138" s="147">
        <f>L136+L137</f>
        <v>8993.9078387840018</v>
      </c>
      <c r="M138" s="148"/>
      <c r="N138" s="149">
        <f>L138-H138</f>
        <v>21.831612656002108</v>
      </c>
      <c r="O138" s="104">
        <f>IF((H138)=0,"",(N138/H138))</f>
        <v>2.4332843486578118E-3</v>
      </c>
      <c r="Q138" s="126"/>
      <c r="R138" s="126"/>
      <c r="S138" s="127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</row>
    <row r="139" spans="1:63" ht="14.4" customHeight="1" x14ac:dyDescent="0.3">
      <c r="B139" s="172" t="s">
        <v>54</v>
      </c>
      <c r="C139" s="172"/>
      <c r="D139" s="172"/>
      <c r="E139" s="73"/>
      <c r="F139" s="106"/>
      <c r="G139" s="101"/>
      <c r="H139" s="143">
        <v>0</v>
      </c>
      <c r="I139" s="102"/>
      <c r="J139" s="102"/>
      <c r="K139" s="102"/>
      <c r="L139" s="150">
        <v>0</v>
      </c>
      <c r="M139" s="148"/>
      <c r="N139" s="151">
        <f>L139-H139</f>
        <v>0</v>
      </c>
      <c r="O139" s="107" t="str">
        <f>IF((H139)=0,"",(N139/H139))</f>
        <v/>
      </c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</row>
    <row r="140" spans="1:63" s="4" customFormat="1" ht="15" thickBot="1" x14ac:dyDescent="0.35">
      <c r="A140" s="60"/>
      <c r="B140" s="173" t="s">
        <v>55</v>
      </c>
      <c r="C140" s="173"/>
      <c r="D140" s="173"/>
      <c r="E140" s="42"/>
      <c r="F140" s="43"/>
      <c r="G140" s="44"/>
      <c r="H140" s="45">
        <f>H138+H139</f>
        <v>8972.0762261279997</v>
      </c>
      <c r="I140" s="46"/>
      <c r="J140" s="46"/>
      <c r="K140" s="46"/>
      <c r="L140" s="47">
        <f>L138+L139</f>
        <v>8993.9078387840018</v>
      </c>
      <c r="M140" s="48"/>
      <c r="N140" s="49">
        <f>L140-H140</f>
        <v>21.831612656002108</v>
      </c>
      <c r="O140" s="50">
        <f>IF((H140)=0,"",(N140/H140))</f>
        <v>2.4332843486578118E-3</v>
      </c>
      <c r="P140" s="60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</row>
    <row r="141" spans="1:63" s="4" customFormat="1" ht="15" thickBot="1" x14ac:dyDescent="0.35">
      <c r="A141" s="60"/>
      <c r="B141" s="32"/>
      <c r="C141" s="33"/>
      <c r="D141" s="34"/>
      <c r="E141" s="33"/>
      <c r="F141" s="35"/>
      <c r="G141" s="36"/>
      <c r="H141" s="37"/>
      <c r="I141" s="38"/>
      <c r="J141" s="35"/>
      <c r="K141" s="39"/>
      <c r="L141" s="37"/>
      <c r="M141" s="123"/>
      <c r="N141" s="40"/>
      <c r="O141" s="41"/>
      <c r="P141" s="60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</row>
    <row r="142" spans="1:63" s="92" customFormat="1" ht="13.2" x14ac:dyDescent="0.25">
      <c r="B142" s="108" t="s">
        <v>56</v>
      </c>
      <c r="C142" s="90"/>
      <c r="D142" s="90"/>
      <c r="E142" s="90"/>
      <c r="F142" s="109"/>
      <c r="G142" s="110"/>
      <c r="H142" s="152">
        <f>SUM(H133:H134,H125,H126:H129)</f>
        <v>8191.2604656000003</v>
      </c>
      <c r="I142" s="111"/>
      <c r="J142" s="112"/>
      <c r="K142" s="112"/>
      <c r="L142" s="155">
        <f>SUM(L133:L134,L125,L126:L129)</f>
        <v>8210.5804768000016</v>
      </c>
      <c r="M142" s="156"/>
      <c r="N142" s="157">
        <f>L142-H142</f>
        <v>19.320011200001318</v>
      </c>
      <c r="O142" s="98">
        <f>IF((H142)=0,"",(N142/H142))</f>
        <v>2.3586127289124299E-3</v>
      </c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</row>
    <row r="143" spans="1:63" s="92" customFormat="1" ht="13.2" x14ac:dyDescent="0.25">
      <c r="B143" s="113" t="s">
        <v>52</v>
      </c>
      <c r="C143" s="90"/>
      <c r="D143" s="90"/>
      <c r="E143" s="90"/>
      <c r="F143" s="114">
        <v>0.13</v>
      </c>
      <c r="G143" s="110"/>
      <c r="H143" s="153">
        <f>H142*F143</f>
        <v>1064.863860528</v>
      </c>
      <c r="I143" s="115"/>
      <c r="J143" s="116">
        <v>0.13</v>
      </c>
      <c r="K143" s="117"/>
      <c r="L143" s="158">
        <f>L142*J143</f>
        <v>1067.3754619840001</v>
      </c>
      <c r="M143" s="159"/>
      <c r="N143" s="160">
        <f>L143-H143</f>
        <v>2.5116014560001076</v>
      </c>
      <c r="O143" s="104">
        <f>IF((H143)=0,"",(N143/H143))</f>
        <v>2.3586127289123701E-3</v>
      </c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</row>
    <row r="144" spans="1:63" s="92" customFormat="1" ht="13.2" x14ac:dyDescent="0.25">
      <c r="B144" s="118" t="s">
        <v>53</v>
      </c>
      <c r="C144" s="90"/>
      <c r="D144" s="90"/>
      <c r="E144" s="90"/>
      <c r="F144" s="119"/>
      <c r="G144" s="120"/>
      <c r="H144" s="153">
        <f>H142+H143</f>
        <v>9256.1243261279997</v>
      </c>
      <c r="I144" s="115"/>
      <c r="J144" s="115"/>
      <c r="K144" s="115"/>
      <c r="L144" s="158">
        <f>L142+L143</f>
        <v>9277.9559387840018</v>
      </c>
      <c r="M144" s="159"/>
      <c r="N144" s="160">
        <f>L144-H144</f>
        <v>21.831612656002108</v>
      </c>
      <c r="O144" s="104">
        <f>IF((H144)=0,"",(N144/H144))</f>
        <v>2.3586127289124967E-3</v>
      </c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</row>
    <row r="145" spans="1:63" s="92" customFormat="1" ht="13.2" customHeight="1" x14ac:dyDescent="0.25">
      <c r="B145" s="174" t="s">
        <v>54</v>
      </c>
      <c r="C145" s="174"/>
      <c r="D145" s="174"/>
      <c r="E145" s="90"/>
      <c r="F145" s="119"/>
      <c r="G145" s="120"/>
      <c r="H145" s="154">
        <v>0</v>
      </c>
      <c r="I145" s="115"/>
      <c r="J145" s="115"/>
      <c r="K145" s="115"/>
      <c r="L145" s="161">
        <v>0</v>
      </c>
      <c r="M145" s="159"/>
      <c r="N145" s="162">
        <f>L145-H145</f>
        <v>0</v>
      </c>
      <c r="O145" s="107" t="str">
        <f>IF((H145)=0,"",(N145/H145))</f>
        <v/>
      </c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</row>
    <row r="146" spans="1:63" s="4" customFormat="1" ht="15" thickBot="1" x14ac:dyDescent="0.35">
      <c r="A146" s="60"/>
      <c r="B146" s="173" t="s">
        <v>57</v>
      </c>
      <c r="C146" s="173"/>
      <c r="D146" s="173"/>
      <c r="E146" s="42"/>
      <c r="F146" s="43"/>
      <c r="G146" s="44"/>
      <c r="H146" s="45">
        <f>SUM(H144:H145)</f>
        <v>9256.1243261279997</v>
      </c>
      <c r="I146" s="46"/>
      <c r="J146" s="46"/>
      <c r="K146" s="46"/>
      <c r="L146" s="47">
        <f>SUM(L144:L145)</f>
        <v>9277.9559387840018</v>
      </c>
      <c r="M146" s="48"/>
      <c r="N146" s="49">
        <f>L146-H146</f>
        <v>21.831612656002108</v>
      </c>
      <c r="O146" s="50">
        <f>IF((H146)=0,"",(N146/H146))</f>
        <v>2.3586127289124967E-3</v>
      </c>
      <c r="P146" s="60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</row>
    <row r="147" spans="1:63" s="4" customFormat="1" ht="15" thickBot="1" x14ac:dyDescent="0.35">
      <c r="A147" s="60"/>
      <c r="B147" s="32"/>
      <c r="C147" s="33"/>
      <c r="D147" s="34"/>
      <c r="E147" s="33"/>
      <c r="F147" s="35"/>
      <c r="G147" s="36"/>
      <c r="H147" s="122"/>
      <c r="I147" s="123"/>
      <c r="J147" s="35"/>
      <c r="K147" s="39"/>
      <c r="L147" s="37"/>
      <c r="M147" s="123"/>
      <c r="N147" s="40"/>
      <c r="O147" s="41"/>
      <c r="P147" s="60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</row>
    <row r="148" spans="1:63" x14ac:dyDescent="0.3">
      <c r="L148" s="88"/>
    </row>
    <row r="149" spans="1:63" x14ac:dyDescent="0.3">
      <c r="B149" s="65" t="s">
        <v>58</v>
      </c>
      <c r="F149" s="51">
        <v>3.7699999999999997E-2</v>
      </c>
      <c r="J149" s="51">
        <f>+Residential!$J$74</f>
        <v>3.7600000000000001E-2</v>
      </c>
    </row>
    <row r="151" spans="1:63" x14ac:dyDescent="0.3">
      <c r="L151" s="56"/>
      <c r="M151" s="56"/>
      <c r="N151" s="56"/>
      <c r="O151" s="56"/>
      <c r="P151" s="56"/>
    </row>
    <row r="152" spans="1:63" ht="16.2" x14ac:dyDescent="0.3">
      <c r="A152" s="121" t="s">
        <v>59</v>
      </c>
    </row>
    <row r="154" spans="1:63" x14ac:dyDescent="0.3">
      <c r="A154" s="60" t="s">
        <v>60</v>
      </c>
    </row>
    <row r="155" spans="1:63" x14ac:dyDescent="0.3">
      <c r="A155" s="60" t="s">
        <v>61</v>
      </c>
    </row>
    <row r="157" spans="1:63" x14ac:dyDescent="0.3">
      <c r="B157" s="60" t="s">
        <v>62</v>
      </c>
    </row>
    <row r="160" spans="1:63" ht="18.75" customHeight="1" x14ac:dyDescent="0.3">
      <c r="B160" s="175" t="s">
        <v>6</v>
      </c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56"/>
    </row>
    <row r="161" spans="2:29" ht="18.75" customHeight="1" x14ac:dyDescent="0.3">
      <c r="B161" s="175" t="s">
        <v>7</v>
      </c>
      <c r="C161" s="175"/>
      <c r="D161" s="175"/>
      <c r="E161" s="175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56"/>
    </row>
    <row r="162" spans="2:29" ht="7.5" customHeight="1" x14ac:dyDescent="0.3">
      <c r="L162" s="56"/>
      <c r="M162" s="56"/>
      <c r="N162" s="56"/>
      <c r="O162" s="56"/>
      <c r="P162" s="56"/>
    </row>
    <row r="163" spans="2:29" ht="7.5" customHeight="1" x14ac:dyDescent="0.3">
      <c r="L163" s="56"/>
      <c r="M163" s="56"/>
      <c r="N163" s="56"/>
      <c r="O163" s="56"/>
      <c r="P163" s="56"/>
    </row>
    <row r="164" spans="2:29" ht="15.6" x14ac:dyDescent="0.3">
      <c r="B164" s="61" t="s">
        <v>8</v>
      </c>
      <c r="D164" s="185" t="s">
        <v>68</v>
      </c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</row>
    <row r="165" spans="2:29" ht="7.5" customHeight="1" x14ac:dyDescent="0.3">
      <c r="B165" s="62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</row>
    <row r="166" spans="2:29" ht="15.6" x14ac:dyDescent="0.3">
      <c r="B166" s="61" t="s">
        <v>9</v>
      </c>
      <c r="D166" s="5" t="s">
        <v>63</v>
      </c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</row>
    <row r="167" spans="2:29" ht="15.6" x14ac:dyDescent="0.3">
      <c r="B167" s="62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</row>
    <row r="168" spans="2:29" x14ac:dyDescent="0.3">
      <c r="B168" s="64"/>
      <c r="D168" s="65" t="s">
        <v>11</v>
      </c>
      <c r="E168" s="65"/>
      <c r="F168" s="6">
        <v>300</v>
      </c>
      <c r="G168" s="65" t="s">
        <v>64</v>
      </c>
    </row>
    <row r="169" spans="2:29" x14ac:dyDescent="0.3">
      <c r="B169" s="64"/>
      <c r="F169" s="6">
        <v>120000</v>
      </c>
      <c r="G169" s="65" t="s">
        <v>12</v>
      </c>
    </row>
    <row r="170" spans="2:29" x14ac:dyDescent="0.3">
      <c r="B170" s="64"/>
      <c r="D170" s="66"/>
      <c r="E170" s="66"/>
      <c r="F170" s="176" t="s">
        <v>13</v>
      </c>
      <c r="G170" s="177"/>
      <c r="H170" s="178"/>
      <c r="J170" s="176" t="s">
        <v>14</v>
      </c>
      <c r="K170" s="177"/>
      <c r="L170" s="178"/>
      <c r="N170" s="176" t="s">
        <v>15</v>
      </c>
      <c r="O170" s="178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</row>
    <row r="171" spans="2:29" x14ac:dyDescent="0.3">
      <c r="B171" s="64"/>
      <c r="D171" s="179" t="s">
        <v>16</v>
      </c>
      <c r="E171" s="67"/>
      <c r="F171" s="68" t="s">
        <v>17</v>
      </c>
      <c r="G171" s="68" t="s">
        <v>18</v>
      </c>
      <c r="H171" s="69" t="s">
        <v>19</v>
      </c>
      <c r="J171" s="68" t="s">
        <v>17</v>
      </c>
      <c r="K171" s="70" t="s">
        <v>18</v>
      </c>
      <c r="L171" s="69" t="s">
        <v>19</v>
      </c>
      <c r="N171" s="181" t="s">
        <v>20</v>
      </c>
      <c r="O171" s="183" t="s">
        <v>21</v>
      </c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</row>
    <row r="172" spans="2:29" x14ac:dyDescent="0.3">
      <c r="B172" s="64"/>
      <c r="D172" s="180"/>
      <c r="E172" s="67"/>
      <c r="F172" s="71" t="s">
        <v>22</v>
      </c>
      <c r="G172" s="71"/>
      <c r="H172" s="72" t="s">
        <v>22</v>
      </c>
      <c r="J172" s="71" t="s">
        <v>22</v>
      </c>
      <c r="K172" s="72"/>
      <c r="L172" s="72" t="s">
        <v>22</v>
      </c>
      <c r="N172" s="182"/>
      <c r="O172" s="184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</row>
    <row r="173" spans="2:29" x14ac:dyDescent="0.3">
      <c r="B173" s="73" t="s">
        <v>23</v>
      </c>
      <c r="C173" s="73"/>
      <c r="D173" s="7" t="s">
        <v>24</v>
      </c>
      <c r="E173" s="73"/>
      <c r="F173" s="129">
        <v>118.45</v>
      </c>
      <c r="G173" s="74">
        <v>1</v>
      </c>
      <c r="H173" s="75">
        <f t="shared" ref="H173:H188" si="18">G173*F173</f>
        <v>118.45</v>
      </c>
      <c r="I173" s="76"/>
      <c r="J173" s="129">
        <v>118.45</v>
      </c>
      <c r="K173" s="77">
        <v>1</v>
      </c>
      <c r="L173" s="75">
        <f t="shared" ref="L173:L188" si="19">K173*J173</f>
        <v>118.45</v>
      </c>
      <c r="M173" s="76"/>
      <c r="N173" s="78">
        <f t="shared" ref="N173:N209" si="20">L173-H173</f>
        <v>0</v>
      </c>
      <c r="O173" s="79">
        <f t="shared" ref="O173:O195" si="21">IF((H173)=0,"",(N173/H173))</f>
        <v>0</v>
      </c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</row>
    <row r="174" spans="2:29" x14ac:dyDescent="0.3">
      <c r="B174" s="73" t="s">
        <v>25</v>
      </c>
      <c r="C174" s="73"/>
      <c r="D174" s="7" t="s">
        <v>24</v>
      </c>
      <c r="E174" s="73"/>
      <c r="F174" s="133"/>
      <c r="G174" s="74">
        <v>1</v>
      </c>
      <c r="H174" s="136">
        <f t="shared" si="18"/>
        <v>0</v>
      </c>
      <c r="I174" s="76"/>
      <c r="J174" s="130"/>
      <c r="K174" s="77">
        <v>1</v>
      </c>
      <c r="L174" s="136">
        <f t="shared" si="19"/>
        <v>0</v>
      </c>
      <c r="M174" s="76"/>
      <c r="N174" s="137">
        <f t="shared" si="20"/>
        <v>0</v>
      </c>
      <c r="O174" s="79" t="str">
        <f t="shared" si="21"/>
        <v/>
      </c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</row>
    <row r="175" spans="2:29" x14ac:dyDescent="0.3">
      <c r="B175" s="9"/>
      <c r="C175" s="73"/>
      <c r="D175" s="7"/>
      <c r="E175" s="73"/>
      <c r="F175" s="134"/>
      <c r="G175" s="74">
        <v>1</v>
      </c>
      <c r="H175" s="136">
        <f t="shared" si="18"/>
        <v>0</v>
      </c>
      <c r="I175" s="76"/>
      <c r="J175" s="131"/>
      <c r="K175" s="77">
        <v>1</v>
      </c>
      <c r="L175" s="136">
        <f t="shared" si="19"/>
        <v>0</v>
      </c>
      <c r="M175" s="76"/>
      <c r="N175" s="137">
        <f t="shared" si="20"/>
        <v>0</v>
      </c>
      <c r="O175" s="79" t="str">
        <f t="shared" si="21"/>
        <v/>
      </c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</row>
    <row r="176" spans="2:29" x14ac:dyDescent="0.3">
      <c r="B176" s="9"/>
      <c r="C176" s="73"/>
      <c r="D176" s="7"/>
      <c r="E176" s="73"/>
      <c r="F176" s="134"/>
      <c r="G176" s="74">
        <v>1</v>
      </c>
      <c r="H176" s="136">
        <f t="shared" si="18"/>
        <v>0</v>
      </c>
      <c r="I176" s="76"/>
      <c r="J176" s="131"/>
      <c r="K176" s="77">
        <v>1</v>
      </c>
      <c r="L176" s="136">
        <f t="shared" si="19"/>
        <v>0</v>
      </c>
      <c r="M176" s="76"/>
      <c r="N176" s="137">
        <f t="shared" si="20"/>
        <v>0</v>
      </c>
      <c r="O176" s="79" t="str">
        <f t="shared" si="21"/>
        <v/>
      </c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</row>
    <row r="177" spans="1:63" x14ac:dyDescent="0.3">
      <c r="B177" s="10"/>
      <c r="C177" s="73"/>
      <c r="D177" s="7"/>
      <c r="E177" s="73"/>
      <c r="F177" s="134"/>
      <c r="G177" s="74">
        <v>1</v>
      </c>
      <c r="H177" s="136">
        <f t="shared" si="18"/>
        <v>0</v>
      </c>
      <c r="I177" s="76"/>
      <c r="J177" s="131"/>
      <c r="K177" s="77">
        <v>1</v>
      </c>
      <c r="L177" s="136">
        <f t="shared" si="19"/>
        <v>0</v>
      </c>
      <c r="M177" s="76"/>
      <c r="N177" s="137">
        <f t="shared" si="20"/>
        <v>0</v>
      </c>
      <c r="O177" s="79" t="str">
        <f t="shared" si="21"/>
        <v/>
      </c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</row>
    <row r="178" spans="1:63" x14ac:dyDescent="0.3">
      <c r="B178" s="10"/>
      <c r="C178" s="73"/>
      <c r="D178" s="7"/>
      <c r="E178" s="73"/>
      <c r="F178" s="134"/>
      <c r="G178" s="74">
        <v>1</v>
      </c>
      <c r="H178" s="136">
        <f t="shared" si="18"/>
        <v>0</v>
      </c>
      <c r="I178" s="76"/>
      <c r="J178" s="131"/>
      <c r="K178" s="77">
        <v>1</v>
      </c>
      <c r="L178" s="136">
        <f t="shared" si="19"/>
        <v>0</v>
      </c>
      <c r="M178" s="76"/>
      <c r="N178" s="137">
        <f t="shared" si="20"/>
        <v>0</v>
      </c>
      <c r="O178" s="79" t="str">
        <f t="shared" si="21"/>
        <v/>
      </c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</row>
    <row r="179" spans="1:63" x14ac:dyDescent="0.3">
      <c r="B179" s="73" t="s">
        <v>26</v>
      </c>
      <c r="C179" s="73"/>
      <c r="D179" s="7" t="s">
        <v>67</v>
      </c>
      <c r="E179" s="73"/>
      <c r="F179" s="135">
        <v>3.6776</v>
      </c>
      <c r="G179" s="74">
        <f>$F168</f>
        <v>300</v>
      </c>
      <c r="H179" s="136">
        <f t="shared" si="18"/>
        <v>1103.28</v>
      </c>
      <c r="I179" s="76"/>
      <c r="J179" s="132">
        <v>4.6319999999999997</v>
      </c>
      <c r="K179" s="74">
        <f>$F168</f>
        <v>300</v>
      </c>
      <c r="L179" s="136">
        <f t="shared" si="19"/>
        <v>1389.6</v>
      </c>
      <c r="M179" s="76"/>
      <c r="N179" s="137">
        <f t="shared" si="20"/>
        <v>286.31999999999994</v>
      </c>
      <c r="O179" s="79">
        <f t="shared" si="21"/>
        <v>0.25951707635414395</v>
      </c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</row>
    <row r="180" spans="1:63" x14ac:dyDescent="0.3">
      <c r="B180" s="73" t="s">
        <v>28</v>
      </c>
      <c r="C180" s="73"/>
      <c r="D180" s="7" t="s">
        <v>24</v>
      </c>
      <c r="E180" s="73"/>
      <c r="F180" s="135"/>
      <c r="G180" s="74">
        <v>1</v>
      </c>
      <c r="H180" s="136">
        <f t="shared" si="18"/>
        <v>0</v>
      </c>
      <c r="I180" s="76"/>
      <c r="J180" s="132"/>
      <c r="K180" s="74">
        <v>1</v>
      </c>
      <c r="L180" s="136">
        <f t="shared" si="19"/>
        <v>0</v>
      </c>
      <c r="M180" s="76"/>
      <c r="N180" s="137">
        <f t="shared" si="20"/>
        <v>0</v>
      </c>
      <c r="O180" s="79" t="str">
        <f t="shared" si="21"/>
        <v/>
      </c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</row>
    <row r="181" spans="1:63" x14ac:dyDescent="0.3">
      <c r="B181" s="73" t="s">
        <v>29</v>
      </c>
      <c r="C181" s="73"/>
      <c r="D181" s="7" t="s">
        <v>67</v>
      </c>
      <c r="E181" s="73"/>
      <c r="F181" s="135">
        <v>3.3E-3</v>
      </c>
      <c r="G181" s="74">
        <f>$F168</f>
        <v>300</v>
      </c>
      <c r="H181" s="136">
        <f t="shared" si="18"/>
        <v>0.99</v>
      </c>
      <c r="I181" s="76"/>
      <c r="J181" s="171">
        <v>0</v>
      </c>
      <c r="K181" s="74">
        <f>$F168</f>
        <v>300</v>
      </c>
      <c r="L181" s="136">
        <f t="shared" si="19"/>
        <v>0</v>
      </c>
      <c r="M181" s="76"/>
      <c r="N181" s="137">
        <f t="shared" si="20"/>
        <v>-0.99</v>
      </c>
      <c r="O181" s="79">
        <f t="shared" si="21"/>
        <v>-1</v>
      </c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</row>
    <row r="182" spans="1:63" x14ac:dyDescent="0.3">
      <c r="B182" s="11" t="s">
        <v>30</v>
      </c>
      <c r="C182" s="73"/>
      <c r="D182" s="7" t="s">
        <v>67</v>
      </c>
      <c r="E182" s="73"/>
      <c r="F182" s="135">
        <v>0.25109999999999999</v>
      </c>
      <c r="G182" s="74">
        <f>$F168</f>
        <v>300</v>
      </c>
      <c r="H182" s="136">
        <f t="shared" si="18"/>
        <v>75.33</v>
      </c>
      <c r="I182" s="76"/>
      <c r="J182" s="132"/>
      <c r="K182" s="74">
        <f>$F168</f>
        <v>300</v>
      </c>
      <c r="L182" s="136">
        <f t="shared" si="19"/>
        <v>0</v>
      </c>
      <c r="M182" s="76"/>
      <c r="N182" s="137">
        <f t="shared" si="20"/>
        <v>-75.33</v>
      </c>
      <c r="O182" s="79">
        <f t="shared" si="21"/>
        <v>-1</v>
      </c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  <c r="AA182" s="126"/>
      <c r="AB182" s="126"/>
      <c r="AC182" s="126"/>
    </row>
    <row r="183" spans="1:63" x14ac:dyDescent="0.3">
      <c r="B183" s="11" t="s">
        <v>31</v>
      </c>
      <c r="C183" s="73"/>
      <c r="D183" s="7" t="s">
        <v>67</v>
      </c>
      <c r="E183" s="73"/>
      <c r="F183" s="135">
        <v>-4.65E-2</v>
      </c>
      <c r="G183" s="74">
        <f>$F168</f>
        <v>300</v>
      </c>
      <c r="H183" s="136">
        <f t="shared" si="18"/>
        <v>-13.95</v>
      </c>
      <c r="I183" s="76"/>
      <c r="J183" s="132"/>
      <c r="K183" s="74">
        <f>$F168</f>
        <v>300</v>
      </c>
      <c r="L183" s="136">
        <f t="shared" si="19"/>
        <v>0</v>
      </c>
      <c r="M183" s="76"/>
      <c r="N183" s="137">
        <f t="shared" si="20"/>
        <v>13.95</v>
      </c>
      <c r="O183" s="79">
        <f t="shared" si="21"/>
        <v>-1</v>
      </c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  <c r="AB183" s="126"/>
      <c r="AC183" s="126"/>
    </row>
    <row r="184" spans="1:63" x14ac:dyDescent="0.3">
      <c r="B184" s="11" t="s">
        <v>32</v>
      </c>
      <c r="C184" s="73"/>
      <c r="D184" s="7" t="s">
        <v>24</v>
      </c>
      <c r="E184" s="73"/>
      <c r="F184" s="135"/>
      <c r="G184" s="74">
        <v>1</v>
      </c>
      <c r="H184" s="136">
        <f t="shared" si="18"/>
        <v>0</v>
      </c>
      <c r="I184" s="76"/>
      <c r="J184" s="132"/>
      <c r="K184" s="74">
        <v>1</v>
      </c>
      <c r="L184" s="136">
        <f t="shared" si="19"/>
        <v>0</v>
      </c>
      <c r="M184" s="76"/>
      <c r="N184" s="137">
        <f t="shared" si="20"/>
        <v>0</v>
      </c>
      <c r="O184" s="79" t="str">
        <f t="shared" si="21"/>
        <v/>
      </c>
      <c r="Q184" s="126"/>
      <c r="R184" s="126"/>
      <c r="S184" s="126"/>
      <c r="T184" s="126"/>
      <c r="U184" s="126"/>
      <c r="V184" s="126"/>
      <c r="W184" s="126"/>
      <c r="X184" s="126"/>
      <c r="Y184" s="126"/>
      <c r="Z184" s="126"/>
      <c r="AA184" s="126"/>
      <c r="AB184" s="126"/>
      <c r="AC184" s="126"/>
    </row>
    <row r="185" spans="1:63" x14ac:dyDescent="0.3">
      <c r="B185" s="12" t="str">
        <f>+Residential!$B$35</f>
        <v>Rate Rider for Disposition of Account 1576</v>
      </c>
      <c r="C185" s="73"/>
      <c r="D185" s="7" t="s">
        <v>67</v>
      </c>
      <c r="E185" s="73"/>
      <c r="F185" s="134"/>
      <c r="G185" s="74">
        <f>$F168</f>
        <v>300</v>
      </c>
      <c r="H185" s="136">
        <f t="shared" si="18"/>
        <v>0</v>
      </c>
      <c r="I185" s="76"/>
      <c r="J185" s="132">
        <v>-0.21049999999999999</v>
      </c>
      <c r="K185" s="74">
        <f>$F168</f>
        <v>300</v>
      </c>
      <c r="L185" s="136">
        <f t="shared" si="19"/>
        <v>-63.15</v>
      </c>
      <c r="M185" s="76"/>
      <c r="N185" s="137">
        <f t="shared" si="20"/>
        <v>-63.15</v>
      </c>
      <c r="O185" s="79" t="str">
        <f t="shared" si="21"/>
        <v/>
      </c>
      <c r="Q185" s="126"/>
      <c r="R185" s="126"/>
      <c r="S185" s="126"/>
      <c r="T185" s="126"/>
      <c r="U185" s="126"/>
      <c r="V185" s="126"/>
      <c r="W185" s="126"/>
      <c r="X185" s="126"/>
      <c r="Y185" s="126"/>
      <c r="Z185" s="126"/>
      <c r="AA185" s="126"/>
      <c r="AB185" s="126"/>
      <c r="AC185" s="126"/>
    </row>
    <row r="186" spans="1:63" x14ac:dyDescent="0.3">
      <c r="B186" s="12" t="str">
        <f>+Residential!$B$36</f>
        <v xml:space="preserve">Rate Rider for Disposition of CGAAP CWIP differential </v>
      </c>
      <c r="C186" s="73"/>
      <c r="D186" s="7" t="s">
        <v>67</v>
      </c>
      <c r="E186" s="73"/>
      <c r="F186" s="134"/>
      <c r="G186" s="74">
        <f>$F168</f>
        <v>300</v>
      </c>
      <c r="H186" s="136">
        <f t="shared" si="18"/>
        <v>0</v>
      </c>
      <c r="I186" s="76"/>
      <c r="J186" s="132">
        <v>0.1138</v>
      </c>
      <c r="K186" s="74">
        <f>$F168</f>
        <v>300</v>
      </c>
      <c r="L186" s="136">
        <f t="shared" si="19"/>
        <v>34.14</v>
      </c>
      <c r="M186" s="76"/>
      <c r="N186" s="137">
        <f t="shared" si="20"/>
        <v>34.14</v>
      </c>
      <c r="O186" s="79" t="str">
        <f t="shared" si="21"/>
        <v/>
      </c>
      <c r="Q186" s="126"/>
      <c r="R186" s="126"/>
      <c r="S186" s="126"/>
      <c r="T186" s="126"/>
      <c r="U186" s="126"/>
      <c r="V186" s="126"/>
      <c r="W186" s="126"/>
      <c r="X186" s="126"/>
      <c r="Y186" s="126"/>
      <c r="Z186" s="126"/>
      <c r="AA186" s="126"/>
      <c r="AB186" s="126"/>
      <c r="AC186" s="126"/>
    </row>
    <row r="187" spans="1:63" x14ac:dyDescent="0.3">
      <c r="B187" s="12" t="str">
        <f>+Residential!$B$37</f>
        <v xml:space="preserve">Rate Rider for Disposition of Incremental Capital Expenditures </v>
      </c>
      <c r="C187" s="73"/>
      <c r="D187" s="7" t="s">
        <v>67</v>
      </c>
      <c r="E187" s="73"/>
      <c r="F187" s="131"/>
      <c r="G187" s="74">
        <f>$F168</f>
        <v>300</v>
      </c>
      <c r="H187" s="136">
        <f t="shared" si="18"/>
        <v>0</v>
      </c>
      <c r="I187" s="76"/>
      <c r="J187" s="132">
        <v>6.8199999999999997E-2</v>
      </c>
      <c r="K187" s="74">
        <f>$F168</f>
        <v>300</v>
      </c>
      <c r="L187" s="136">
        <f t="shared" si="19"/>
        <v>20.459999999999997</v>
      </c>
      <c r="M187" s="76"/>
      <c r="N187" s="137">
        <f t="shared" si="20"/>
        <v>20.459999999999997</v>
      </c>
      <c r="O187" s="79" t="str">
        <f t="shared" si="21"/>
        <v/>
      </c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  <c r="AB187" s="126"/>
      <c r="AC187" s="126"/>
    </row>
    <row r="188" spans="1:63" x14ac:dyDescent="0.3">
      <c r="B188" s="12"/>
      <c r="C188" s="73"/>
      <c r="D188" s="7"/>
      <c r="E188" s="73"/>
      <c r="F188" s="131"/>
      <c r="G188" s="74">
        <f>$F168</f>
        <v>300</v>
      </c>
      <c r="H188" s="136">
        <f t="shared" si="18"/>
        <v>0</v>
      </c>
      <c r="I188" s="76"/>
      <c r="J188" s="131"/>
      <c r="K188" s="74">
        <f>$F168</f>
        <v>300</v>
      </c>
      <c r="L188" s="136">
        <f t="shared" si="19"/>
        <v>0</v>
      </c>
      <c r="M188" s="76"/>
      <c r="N188" s="137">
        <f t="shared" si="20"/>
        <v>0</v>
      </c>
      <c r="O188" s="79" t="str">
        <f t="shared" si="21"/>
        <v/>
      </c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  <c r="AB188" s="126"/>
      <c r="AC188" s="126"/>
    </row>
    <row r="189" spans="1:63" s="4" customFormat="1" x14ac:dyDescent="0.3">
      <c r="A189" s="60"/>
      <c r="B189" s="19" t="s">
        <v>33</v>
      </c>
      <c r="C189" s="20"/>
      <c r="D189" s="20"/>
      <c r="E189" s="20"/>
      <c r="F189" s="21"/>
      <c r="G189" s="22"/>
      <c r="H189" s="23">
        <f>SUM(H173:H188)</f>
        <v>1284.0999999999999</v>
      </c>
      <c r="I189" s="13"/>
      <c r="J189" s="14"/>
      <c r="K189" s="24"/>
      <c r="L189" s="23">
        <f>SUM(L173:L188)</f>
        <v>1499.5</v>
      </c>
      <c r="M189" s="13"/>
      <c r="N189" s="15">
        <f t="shared" si="20"/>
        <v>215.40000000000009</v>
      </c>
      <c r="O189" s="16">
        <f t="shared" si="21"/>
        <v>0.16774394517560945</v>
      </c>
      <c r="P189" s="60"/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6"/>
      <c r="AC189" s="126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</row>
    <row r="190" spans="1:63" x14ac:dyDescent="0.3">
      <c r="B190" s="17" t="s">
        <v>34</v>
      </c>
      <c r="C190" s="73"/>
      <c r="D190" s="7" t="s">
        <v>67</v>
      </c>
      <c r="E190" s="73"/>
      <c r="F190" s="135">
        <v>9.5299999999999996E-2</v>
      </c>
      <c r="G190" s="74">
        <f>$F168</f>
        <v>300</v>
      </c>
      <c r="H190" s="136">
        <f t="shared" ref="H190:H196" si="22">G190*F190</f>
        <v>28.59</v>
      </c>
      <c r="I190" s="76"/>
      <c r="J190" s="132">
        <v>-0.52270000000000005</v>
      </c>
      <c r="K190" s="74">
        <f>$F168</f>
        <v>300</v>
      </c>
      <c r="L190" s="136">
        <f t="shared" ref="L190:L196" si="23">K190*J190</f>
        <v>-156.81</v>
      </c>
      <c r="M190" s="76"/>
      <c r="N190" s="137">
        <f t="shared" si="20"/>
        <v>-185.4</v>
      </c>
      <c r="O190" s="79">
        <f t="shared" si="21"/>
        <v>-6.4847848898216158</v>
      </c>
      <c r="Q190" s="126"/>
      <c r="R190" s="126"/>
      <c r="S190" s="126"/>
      <c r="T190" s="126"/>
      <c r="U190" s="126"/>
      <c r="V190" s="126"/>
      <c r="W190" s="126"/>
      <c r="X190" s="126"/>
      <c r="Y190" s="126"/>
      <c r="Z190" s="126"/>
      <c r="AA190" s="126"/>
      <c r="AB190" s="126"/>
      <c r="AC190" s="126"/>
    </row>
    <row r="191" spans="1:63" x14ac:dyDescent="0.3">
      <c r="B191" s="17"/>
      <c r="C191" s="73"/>
      <c r="D191" s="7"/>
      <c r="E191" s="73"/>
      <c r="F191" s="8"/>
      <c r="G191" s="74">
        <f>$F168</f>
        <v>300</v>
      </c>
      <c r="H191" s="136">
        <f t="shared" si="22"/>
        <v>0</v>
      </c>
      <c r="I191" s="82"/>
      <c r="J191" s="8"/>
      <c r="K191" s="74">
        <f>$F168</f>
        <v>300</v>
      </c>
      <c r="L191" s="136">
        <f t="shared" si="23"/>
        <v>0</v>
      </c>
      <c r="M191" s="83"/>
      <c r="N191" s="137">
        <f t="shared" si="20"/>
        <v>0</v>
      </c>
      <c r="O191" s="79" t="str">
        <f t="shared" si="21"/>
        <v/>
      </c>
      <c r="Q191" s="126"/>
      <c r="R191" s="126"/>
      <c r="S191" s="126"/>
      <c r="T191" s="126"/>
      <c r="U191" s="126"/>
      <c r="V191" s="126"/>
      <c r="W191" s="126"/>
      <c r="X191" s="126"/>
      <c r="Y191" s="126"/>
      <c r="Z191" s="126"/>
      <c r="AA191" s="126"/>
      <c r="AB191" s="126"/>
      <c r="AC191" s="126"/>
    </row>
    <row r="192" spans="1:63" x14ac:dyDescent="0.3">
      <c r="B192" s="17"/>
      <c r="C192" s="73"/>
      <c r="D192" s="7"/>
      <c r="E192" s="73"/>
      <c r="F192" s="8"/>
      <c r="G192" s="74">
        <f>$F168</f>
        <v>300</v>
      </c>
      <c r="H192" s="136">
        <f t="shared" si="22"/>
        <v>0</v>
      </c>
      <c r="I192" s="82"/>
      <c r="J192" s="8"/>
      <c r="K192" s="74">
        <f>$F168</f>
        <v>300</v>
      </c>
      <c r="L192" s="136">
        <f t="shared" si="23"/>
        <v>0</v>
      </c>
      <c r="M192" s="83"/>
      <c r="N192" s="137">
        <f t="shared" si="20"/>
        <v>0</v>
      </c>
      <c r="O192" s="79" t="str">
        <f t="shared" si="21"/>
        <v/>
      </c>
      <c r="Q192" s="126"/>
      <c r="R192" s="126"/>
      <c r="S192" s="126"/>
      <c r="T192" s="126"/>
      <c r="U192" s="126"/>
      <c r="V192" s="126"/>
      <c r="W192" s="126"/>
      <c r="X192" s="126"/>
      <c r="Y192" s="126"/>
      <c r="Z192" s="126"/>
      <c r="AA192" s="126"/>
      <c r="AB192" s="126"/>
      <c r="AC192" s="126"/>
    </row>
    <row r="193" spans="1:63" x14ac:dyDescent="0.3">
      <c r="B193" s="17"/>
      <c r="C193" s="73"/>
      <c r="D193" s="7"/>
      <c r="E193" s="73"/>
      <c r="F193" s="8"/>
      <c r="G193" s="74">
        <f>$F168</f>
        <v>300</v>
      </c>
      <c r="H193" s="136">
        <f t="shared" si="22"/>
        <v>0</v>
      </c>
      <c r="I193" s="82"/>
      <c r="J193" s="8"/>
      <c r="K193" s="74">
        <f>$F168</f>
        <v>300</v>
      </c>
      <c r="L193" s="136">
        <f t="shared" si="23"/>
        <v>0</v>
      </c>
      <c r="M193" s="83"/>
      <c r="N193" s="137">
        <f t="shared" si="20"/>
        <v>0</v>
      </c>
      <c r="O193" s="79" t="str">
        <f t="shared" si="21"/>
        <v/>
      </c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6"/>
      <c r="AC193" s="126"/>
    </row>
    <row r="194" spans="1:63" x14ac:dyDescent="0.3">
      <c r="B194" s="80" t="s">
        <v>35</v>
      </c>
      <c r="C194" s="73"/>
      <c r="D194" s="7" t="s">
        <v>67</v>
      </c>
      <c r="E194" s="73"/>
      <c r="F194" s="135">
        <v>6.3799999999999996E-2</v>
      </c>
      <c r="G194" s="74">
        <f>$F168</f>
        <v>300</v>
      </c>
      <c r="H194" s="136">
        <f t="shared" si="22"/>
        <v>19.139999999999997</v>
      </c>
      <c r="I194" s="76"/>
      <c r="J194" s="132">
        <v>0.1313</v>
      </c>
      <c r="K194" s="74">
        <f>$F168</f>
        <v>300</v>
      </c>
      <c r="L194" s="136">
        <f t="shared" si="23"/>
        <v>39.39</v>
      </c>
      <c r="M194" s="76"/>
      <c r="N194" s="137">
        <f t="shared" si="20"/>
        <v>20.250000000000004</v>
      </c>
      <c r="O194" s="79">
        <f t="shared" si="21"/>
        <v>1.0579937304075238</v>
      </c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</row>
    <row r="195" spans="1:63" x14ac:dyDescent="0.3">
      <c r="B195" s="80" t="s">
        <v>36</v>
      </c>
      <c r="C195" s="73"/>
      <c r="D195" s="7" t="s">
        <v>27</v>
      </c>
      <c r="E195" s="73"/>
      <c r="F195" s="138">
        <f>IF(ISBLANK(D166)=TRUE, 0, IF(D166="TOU", 0.64*$F205+0.18*$F206+0.18*$F207, IF(AND(D166="non-TOU", G209&gt;0), F209,F208)))</f>
        <v>8.7999999999999995E-2</v>
      </c>
      <c r="G195" s="18">
        <f>$F169*(1+$F224)-$F169</f>
        <v>4524.0000000000146</v>
      </c>
      <c r="H195" s="136">
        <f t="shared" si="22"/>
        <v>398.11200000000127</v>
      </c>
      <c r="I195" s="76"/>
      <c r="J195" s="138">
        <f>+F195</f>
        <v>8.7999999999999995E-2</v>
      </c>
      <c r="K195" s="18">
        <f>$F169*(1+$J224)-$F169</f>
        <v>4512.0000000000146</v>
      </c>
      <c r="L195" s="136">
        <f t="shared" si="23"/>
        <v>397.05600000000123</v>
      </c>
      <c r="M195" s="76"/>
      <c r="N195" s="137">
        <f t="shared" si="20"/>
        <v>-1.05600000000004</v>
      </c>
      <c r="O195" s="79">
        <f t="shared" si="21"/>
        <v>-2.6525198938992965E-3</v>
      </c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  <c r="AB195" s="126"/>
      <c r="AC195" s="126"/>
    </row>
    <row r="196" spans="1:63" x14ac:dyDescent="0.3">
      <c r="B196" s="80" t="s">
        <v>37</v>
      </c>
      <c r="C196" s="73"/>
      <c r="D196" s="7" t="s">
        <v>24</v>
      </c>
      <c r="E196" s="73"/>
      <c r="F196" s="138">
        <v>0</v>
      </c>
      <c r="G196" s="74">
        <v>1</v>
      </c>
      <c r="H196" s="136">
        <f t="shared" si="22"/>
        <v>0</v>
      </c>
      <c r="I196" s="76"/>
      <c r="J196" s="138"/>
      <c r="K196" s="81">
        <v>1</v>
      </c>
      <c r="L196" s="136">
        <f t="shared" si="23"/>
        <v>0</v>
      </c>
      <c r="M196" s="76"/>
      <c r="N196" s="137">
        <f t="shared" si="20"/>
        <v>0</v>
      </c>
      <c r="O196" s="79"/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</row>
    <row r="197" spans="1:63" s="4" customFormat="1" x14ac:dyDescent="0.3">
      <c r="A197" s="60"/>
      <c r="B197" s="19" t="s">
        <v>38</v>
      </c>
      <c r="C197" s="20"/>
      <c r="D197" s="20"/>
      <c r="E197" s="20"/>
      <c r="F197" s="21"/>
      <c r="G197" s="22"/>
      <c r="H197" s="23">
        <f>SUM(H190:H196)+H189</f>
        <v>1729.9420000000011</v>
      </c>
      <c r="I197" s="13"/>
      <c r="J197" s="22"/>
      <c r="K197" s="24"/>
      <c r="L197" s="23">
        <f>SUM(L190:L196)+L189</f>
        <v>1779.1360000000013</v>
      </c>
      <c r="M197" s="13"/>
      <c r="N197" s="15">
        <f t="shared" si="20"/>
        <v>49.194000000000187</v>
      </c>
      <c r="O197" s="16">
        <f t="shared" ref="O197:O209" si="24">IF((H197)=0,"",(N197/H197))</f>
        <v>2.8436791522490439E-2</v>
      </c>
      <c r="P197" s="60"/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0"/>
      <c r="AY197" s="60"/>
      <c r="AZ197" s="60"/>
      <c r="BA197" s="60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</row>
    <row r="198" spans="1:63" x14ac:dyDescent="0.3">
      <c r="B198" s="76" t="s">
        <v>39</v>
      </c>
      <c r="C198" s="76"/>
      <c r="D198" s="25" t="s">
        <v>67</v>
      </c>
      <c r="E198" s="76"/>
      <c r="F198" s="135">
        <v>2.7667000000000002</v>
      </c>
      <c r="G198" s="18">
        <f>F168*(1+F224)</f>
        <v>311.31</v>
      </c>
      <c r="H198" s="136">
        <f>G198*F198</f>
        <v>861.301377</v>
      </c>
      <c r="I198" s="76"/>
      <c r="J198" s="135">
        <f>+$J$48</f>
        <v>2.7441</v>
      </c>
      <c r="K198" s="18">
        <f>F168*(1+J224)</f>
        <v>311.28000000000003</v>
      </c>
      <c r="L198" s="136">
        <f>K198*J198</f>
        <v>854.18344800000011</v>
      </c>
      <c r="M198" s="76"/>
      <c r="N198" s="136">
        <f t="shared" si="20"/>
        <v>-7.11792899999989</v>
      </c>
      <c r="O198" s="79">
        <f t="shared" si="24"/>
        <v>-8.2641560667096083E-3</v>
      </c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  <c r="AB198" s="126"/>
      <c r="AC198" s="126"/>
    </row>
    <row r="199" spans="1:63" x14ac:dyDescent="0.3">
      <c r="B199" s="85" t="s">
        <v>40</v>
      </c>
      <c r="C199" s="76"/>
      <c r="D199" s="25" t="s">
        <v>67</v>
      </c>
      <c r="E199" s="76"/>
      <c r="F199" s="135">
        <v>1.8766</v>
      </c>
      <c r="G199" s="18">
        <f>G198</f>
        <v>311.31</v>
      </c>
      <c r="H199" s="136">
        <f>G199*F199</f>
        <v>584.20434599999999</v>
      </c>
      <c r="I199" s="76"/>
      <c r="J199" s="135">
        <f>+$J$49</f>
        <v>1.8182</v>
      </c>
      <c r="K199" s="18">
        <f>K198</f>
        <v>311.28000000000003</v>
      </c>
      <c r="L199" s="136">
        <f>K199*J199</f>
        <v>565.9692960000001</v>
      </c>
      <c r="M199" s="76"/>
      <c r="N199" s="136">
        <f t="shared" si="20"/>
        <v>-18.235049999999887</v>
      </c>
      <c r="O199" s="79">
        <f t="shared" si="24"/>
        <v>-3.1213478853510425E-2</v>
      </c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</row>
    <row r="200" spans="1:63" s="4" customFormat="1" x14ac:dyDescent="0.3">
      <c r="A200" s="60"/>
      <c r="B200" s="19" t="s">
        <v>41</v>
      </c>
      <c r="C200" s="20"/>
      <c r="D200" s="20"/>
      <c r="E200" s="20"/>
      <c r="F200" s="21"/>
      <c r="G200" s="22"/>
      <c r="H200" s="23">
        <f>SUM(H197:H199)</f>
        <v>3175.4477230000011</v>
      </c>
      <c r="I200" s="13"/>
      <c r="J200" s="26"/>
      <c r="K200" s="22"/>
      <c r="L200" s="23">
        <f>SUM(L197:L199)</f>
        <v>3199.2887440000018</v>
      </c>
      <c r="M200" s="13"/>
      <c r="N200" s="15">
        <f t="shared" si="20"/>
        <v>23.841021000000637</v>
      </c>
      <c r="O200" s="16">
        <f t="shared" si="24"/>
        <v>7.5079242612997128E-3</v>
      </c>
      <c r="P200" s="60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</row>
    <row r="201" spans="1:63" x14ac:dyDescent="0.3">
      <c r="B201" s="86" t="s">
        <v>42</v>
      </c>
      <c r="C201" s="73"/>
      <c r="D201" s="7" t="s">
        <v>27</v>
      </c>
      <c r="E201" s="73"/>
      <c r="F201" s="135">
        <v>4.4000000000000003E-3</v>
      </c>
      <c r="G201" s="18">
        <f>F169*(1+F224)</f>
        <v>124524.00000000001</v>
      </c>
      <c r="H201" s="139">
        <f t="shared" ref="H201:H209" si="25">G201*F201</f>
        <v>547.90560000000005</v>
      </c>
      <c r="I201" s="76"/>
      <c r="J201" s="135">
        <f>+F201</f>
        <v>4.4000000000000003E-3</v>
      </c>
      <c r="K201" s="18">
        <f>F169*(1+J224)</f>
        <v>124512.00000000001</v>
      </c>
      <c r="L201" s="139">
        <f t="shared" ref="L201:L209" si="26">K201*J201</f>
        <v>547.85280000000012</v>
      </c>
      <c r="M201" s="76"/>
      <c r="N201" s="137">
        <f t="shared" si="20"/>
        <v>-5.2799999999933789E-2</v>
      </c>
      <c r="O201" s="87">
        <f t="shared" si="24"/>
        <v>-9.6366965404138567E-5</v>
      </c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26"/>
    </row>
    <row r="202" spans="1:63" x14ac:dyDescent="0.3">
      <c r="B202" s="86" t="s">
        <v>43</v>
      </c>
      <c r="C202" s="73"/>
      <c r="D202" s="7" t="s">
        <v>27</v>
      </c>
      <c r="E202" s="73"/>
      <c r="F202" s="135">
        <v>1.1999999999999999E-3</v>
      </c>
      <c r="G202" s="18">
        <f>+G201</f>
        <v>124524.00000000001</v>
      </c>
      <c r="H202" s="139">
        <f t="shared" si="25"/>
        <v>149.4288</v>
      </c>
      <c r="I202" s="76"/>
      <c r="J202" s="135">
        <v>1.2999999999999999E-3</v>
      </c>
      <c r="K202" s="18">
        <f>+K201</f>
        <v>124512.00000000001</v>
      </c>
      <c r="L202" s="139">
        <f t="shared" si="26"/>
        <v>161.8656</v>
      </c>
      <c r="M202" s="76"/>
      <c r="N202" s="137">
        <f t="shared" si="20"/>
        <v>12.436800000000005</v>
      </c>
      <c r="O202" s="87">
        <f t="shared" si="24"/>
        <v>8.3228935787478753E-2</v>
      </c>
      <c r="Q202" s="126"/>
      <c r="R202" s="126"/>
      <c r="S202" s="126"/>
      <c r="T202" s="126"/>
      <c r="U202" s="126"/>
      <c r="V202" s="126"/>
      <c r="W202" s="126"/>
      <c r="X202" s="126"/>
      <c r="Y202" s="126"/>
      <c r="Z202" s="126"/>
      <c r="AA202" s="126"/>
      <c r="AB202" s="126"/>
      <c r="AC202" s="126"/>
    </row>
    <row r="203" spans="1:63" x14ac:dyDescent="0.3">
      <c r="B203" s="73" t="s">
        <v>44</v>
      </c>
      <c r="C203" s="73"/>
      <c r="D203" s="7" t="s">
        <v>24</v>
      </c>
      <c r="E203" s="73"/>
      <c r="F203" s="135">
        <v>0.25</v>
      </c>
      <c r="G203" s="81">
        <v>1</v>
      </c>
      <c r="H203" s="139">
        <f t="shared" si="25"/>
        <v>0.25</v>
      </c>
      <c r="I203" s="76"/>
      <c r="J203" s="135">
        <f>+F203</f>
        <v>0.25</v>
      </c>
      <c r="K203" s="77">
        <v>1</v>
      </c>
      <c r="L203" s="139">
        <f t="shared" si="26"/>
        <v>0.25</v>
      </c>
      <c r="M203" s="76"/>
      <c r="N203" s="137">
        <f t="shared" si="20"/>
        <v>0</v>
      </c>
      <c r="O203" s="87">
        <f t="shared" si="24"/>
        <v>0</v>
      </c>
      <c r="Q203" s="126"/>
      <c r="R203" s="126"/>
      <c r="S203" s="126"/>
      <c r="T203" s="126"/>
      <c r="U203" s="126"/>
      <c r="V203" s="126"/>
      <c r="W203" s="126"/>
      <c r="X203" s="126"/>
      <c r="Y203" s="126"/>
      <c r="Z203" s="126"/>
      <c r="AA203" s="126"/>
      <c r="AB203" s="126"/>
      <c r="AC203" s="126"/>
    </row>
    <row r="204" spans="1:63" x14ac:dyDescent="0.3">
      <c r="B204" s="73" t="s">
        <v>45</v>
      </c>
      <c r="C204" s="73"/>
      <c r="D204" s="7" t="s">
        <v>27</v>
      </c>
      <c r="E204" s="73"/>
      <c r="F204" s="135">
        <v>7.0000000000000001E-3</v>
      </c>
      <c r="G204" s="84">
        <f>F169</f>
        <v>120000</v>
      </c>
      <c r="H204" s="139">
        <f t="shared" si="25"/>
        <v>840</v>
      </c>
      <c r="I204" s="76"/>
      <c r="J204" s="135">
        <f>+F204</f>
        <v>7.0000000000000001E-3</v>
      </c>
      <c r="K204" s="77">
        <f>F169</f>
        <v>120000</v>
      </c>
      <c r="L204" s="139">
        <f t="shared" si="26"/>
        <v>840</v>
      </c>
      <c r="M204" s="76"/>
      <c r="N204" s="137">
        <f t="shared" si="20"/>
        <v>0</v>
      </c>
      <c r="O204" s="87">
        <f t="shared" si="24"/>
        <v>0</v>
      </c>
      <c r="Q204" s="126"/>
      <c r="R204" s="126"/>
      <c r="S204" s="126"/>
      <c r="T204" s="126"/>
      <c r="U204" s="126"/>
      <c r="V204" s="126"/>
      <c r="W204" s="126"/>
      <c r="X204" s="126"/>
      <c r="Y204" s="126"/>
      <c r="Z204" s="126"/>
      <c r="AA204" s="126"/>
      <c r="AB204" s="126"/>
      <c r="AC204" s="126"/>
    </row>
    <row r="205" spans="1:63" x14ac:dyDescent="0.3">
      <c r="B205" s="80" t="s">
        <v>46</v>
      </c>
      <c r="C205" s="73"/>
      <c r="D205" s="7" t="s">
        <v>27</v>
      </c>
      <c r="E205" s="73"/>
      <c r="F205" s="138">
        <v>6.7000000000000004E-2</v>
      </c>
      <c r="G205" s="27">
        <f>0.64*$F169</f>
        <v>76800</v>
      </c>
      <c r="H205" s="139">
        <f t="shared" si="25"/>
        <v>5145.6000000000004</v>
      </c>
      <c r="I205" s="76"/>
      <c r="J205" s="138">
        <v>6.7000000000000004E-2</v>
      </c>
      <c r="K205" s="28">
        <f>G205</f>
        <v>76800</v>
      </c>
      <c r="L205" s="139">
        <f t="shared" si="26"/>
        <v>5145.6000000000004</v>
      </c>
      <c r="M205" s="76"/>
      <c r="N205" s="137">
        <f t="shared" si="20"/>
        <v>0</v>
      </c>
      <c r="O205" s="87">
        <f t="shared" si="24"/>
        <v>0</v>
      </c>
      <c r="Q205" s="126"/>
      <c r="R205" s="126"/>
      <c r="S205" s="127"/>
      <c r="T205" s="126"/>
      <c r="U205" s="126"/>
      <c r="V205" s="126"/>
      <c r="W205" s="126"/>
      <c r="X205" s="126"/>
      <c r="Y205" s="126"/>
      <c r="Z205" s="126"/>
      <c r="AA205" s="126"/>
      <c r="AB205" s="126"/>
      <c r="AC205" s="126"/>
    </row>
    <row r="206" spans="1:63" x14ac:dyDescent="0.3">
      <c r="B206" s="80" t="s">
        <v>47</v>
      </c>
      <c r="C206" s="73"/>
      <c r="D206" s="7" t="s">
        <v>27</v>
      </c>
      <c r="E206" s="73"/>
      <c r="F206" s="138">
        <v>0.104</v>
      </c>
      <c r="G206" s="27">
        <f>0.18*$F169</f>
        <v>21600</v>
      </c>
      <c r="H206" s="139">
        <f t="shared" si="25"/>
        <v>2246.4</v>
      </c>
      <c r="I206" s="76"/>
      <c r="J206" s="138">
        <v>0.104</v>
      </c>
      <c r="K206" s="28">
        <f>G206</f>
        <v>21600</v>
      </c>
      <c r="L206" s="139">
        <f t="shared" si="26"/>
        <v>2246.4</v>
      </c>
      <c r="M206" s="76"/>
      <c r="N206" s="137">
        <f t="shared" si="20"/>
        <v>0</v>
      </c>
      <c r="O206" s="87">
        <f t="shared" si="24"/>
        <v>0</v>
      </c>
      <c r="Q206" s="126"/>
      <c r="R206" s="126"/>
      <c r="S206" s="127"/>
      <c r="T206" s="126"/>
      <c r="U206" s="126"/>
      <c r="V206" s="126"/>
      <c r="W206" s="126"/>
      <c r="X206" s="126"/>
      <c r="Y206" s="126"/>
      <c r="Z206" s="126"/>
      <c r="AA206" s="126"/>
      <c r="AB206" s="126"/>
      <c r="AC206" s="126"/>
    </row>
    <row r="207" spans="1:63" x14ac:dyDescent="0.3">
      <c r="B207" s="64" t="s">
        <v>48</v>
      </c>
      <c r="C207" s="73"/>
      <c r="D207" s="7" t="s">
        <v>27</v>
      </c>
      <c r="E207" s="73"/>
      <c r="F207" s="138">
        <v>0.124</v>
      </c>
      <c r="G207" s="27">
        <f>0.18*$F169</f>
        <v>21600</v>
      </c>
      <c r="H207" s="139">
        <f t="shared" si="25"/>
        <v>2678.4</v>
      </c>
      <c r="I207" s="76"/>
      <c r="J207" s="138">
        <v>0.124</v>
      </c>
      <c r="K207" s="28">
        <f>G207</f>
        <v>21600</v>
      </c>
      <c r="L207" s="139">
        <f t="shared" si="26"/>
        <v>2678.4</v>
      </c>
      <c r="M207" s="76"/>
      <c r="N207" s="137">
        <f t="shared" si="20"/>
        <v>0</v>
      </c>
      <c r="O207" s="87">
        <f t="shared" si="24"/>
        <v>0</v>
      </c>
      <c r="Q207" s="126"/>
      <c r="R207" s="126"/>
      <c r="S207" s="127"/>
      <c r="T207" s="126"/>
      <c r="U207" s="126"/>
      <c r="V207" s="126"/>
      <c r="W207" s="126"/>
      <c r="X207" s="126"/>
      <c r="Y207" s="126"/>
      <c r="Z207" s="126"/>
      <c r="AA207" s="126"/>
      <c r="AB207" s="126"/>
      <c r="AC207" s="126"/>
    </row>
    <row r="208" spans="1:63" s="92" customFormat="1" x14ac:dyDescent="0.25">
      <c r="B208" s="89" t="s">
        <v>49</v>
      </c>
      <c r="C208" s="90"/>
      <c r="D208" s="29" t="s">
        <v>27</v>
      </c>
      <c r="E208" s="90"/>
      <c r="F208" s="138">
        <v>7.4999999999999997E-2</v>
      </c>
      <c r="G208" s="30">
        <f>IF(AND($T$1=1, F169&gt;=750), 750, IF(AND($T$1=1, AND(F169&lt;750, F169&gt;=0)), F169, IF(AND($T$1=2, F169&gt;=750), 750, IF(AND($T$1=2, AND(F169&lt;750, F169&gt;=0)), F169))))</f>
        <v>750</v>
      </c>
      <c r="H208" s="139">
        <f t="shared" si="25"/>
        <v>56.25</v>
      </c>
      <c r="I208" s="91"/>
      <c r="J208" s="138">
        <v>7.4999999999999997E-2</v>
      </c>
      <c r="K208" s="31">
        <f>G208</f>
        <v>750</v>
      </c>
      <c r="L208" s="139">
        <f t="shared" si="26"/>
        <v>56.25</v>
      </c>
      <c r="M208" s="91"/>
      <c r="N208" s="140">
        <f t="shared" si="20"/>
        <v>0</v>
      </c>
      <c r="O208" s="87">
        <f t="shared" si="24"/>
        <v>0</v>
      </c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</row>
    <row r="209" spans="1:63" s="92" customFormat="1" ht="15" thickBot="1" x14ac:dyDescent="0.3">
      <c r="B209" s="89" t="s">
        <v>50</v>
      </c>
      <c r="C209" s="90"/>
      <c r="D209" s="29" t="s">
        <v>27</v>
      </c>
      <c r="E209" s="90"/>
      <c r="F209" s="138">
        <v>8.7999999999999995E-2</v>
      </c>
      <c r="G209" s="30">
        <f>IF(AND($T$1=1, F169&gt;=750), F169-750, IF(AND($T$1=1, AND(F169&lt;750, F169&gt;=0)), 0, IF(AND($T$1=2, F169&gt;=750), F169-750, IF(AND($T$1=2, AND(F169&lt;750, F169&gt;=0)), 0))))</f>
        <v>119250</v>
      </c>
      <c r="H209" s="139">
        <f t="shared" si="25"/>
        <v>10494</v>
      </c>
      <c r="I209" s="91"/>
      <c r="J209" s="138">
        <v>8.7999999999999995E-2</v>
      </c>
      <c r="K209" s="31">
        <f>G209</f>
        <v>119250</v>
      </c>
      <c r="L209" s="139">
        <f t="shared" si="26"/>
        <v>10494</v>
      </c>
      <c r="M209" s="91"/>
      <c r="N209" s="140">
        <f t="shared" si="20"/>
        <v>0</v>
      </c>
      <c r="O209" s="87">
        <f t="shared" si="24"/>
        <v>0</v>
      </c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  <c r="AB209" s="128"/>
      <c r="AC209" s="128"/>
    </row>
    <row r="210" spans="1:63" s="4" customFormat="1" ht="15" thickBot="1" x14ac:dyDescent="0.35">
      <c r="A210" s="60"/>
      <c r="B210" s="32"/>
      <c r="C210" s="33"/>
      <c r="D210" s="124"/>
      <c r="E210" s="33"/>
      <c r="F210" s="35"/>
      <c r="G210" s="36"/>
      <c r="H210" s="122"/>
      <c r="I210" s="123"/>
      <c r="J210" s="35"/>
      <c r="K210" s="39"/>
      <c r="L210" s="122"/>
      <c r="M210" s="123"/>
      <c r="N210" s="40"/>
      <c r="O210" s="41"/>
      <c r="P210" s="60"/>
      <c r="Q210" s="126"/>
      <c r="R210" s="126"/>
      <c r="S210" s="126"/>
      <c r="T210" s="126"/>
      <c r="U210" s="126"/>
      <c r="V210" s="126"/>
      <c r="W210" s="126"/>
      <c r="X210" s="126"/>
      <c r="Y210" s="126"/>
      <c r="Z210" s="126"/>
      <c r="AA210" s="126"/>
      <c r="AB210" s="126"/>
      <c r="AC210" s="126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</row>
    <row r="211" spans="1:63" x14ac:dyDescent="0.3">
      <c r="B211" s="93" t="s">
        <v>51</v>
      </c>
      <c r="C211" s="73"/>
      <c r="D211" s="73"/>
      <c r="E211" s="73"/>
      <c r="F211" s="94"/>
      <c r="G211" s="95"/>
      <c r="H211" s="141">
        <f>SUM(H201:H207,H200)</f>
        <v>14783.432123000001</v>
      </c>
      <c r="I211" s="96"/>
      <c r="J211" s="97"/>
      <c r="K211" s="97"/>
      <c r="L211" s="144">
        <f>SUM(L201:L207,L200)</f>
        <v>14819.657144000001</v>
      </c>
      <c r="M211" s="145"/>
      <c r="N211" s="146">
        <f>L211-H211</f>
        <v>36.225021000000197</v>
      </c>
      <c r="O211" s="98">
        <f>IF((H211)=0,"",(N211/H211))</f>
        <v>2.450379634350366E-3</v>
      </c>
      <c r="Q211" s="126"/>
      <c r="R211" s="126"/>
      <c r="S211" s="127"/>
      <c r="T211" s="126"/>
      <c r="U211" s="126"/>
      <c r="V211" s="126"/>
      <c r="W211" s="126"/>
      <c r="X211" s="126"/>
      <c r="Y211" s="126"/>
      <c r="Z211" s="126"/>
      <c r="AA211" s="126"/>
      <c r="AB211" s="126"/>
      <c r="AC211" s="126"/>
    </row>
    <row r="212" spans="1:63" x14ac:dyDescent="0.3">
      <c r="B212" s="99" t="s">
        <v>52</v>
      </c>
      <c r="C212" s="73"/>
      <c r="D212" s="73"/>
      <c r="E212" s="73"/>
      <c r="F212" s="100">
        <v>0.13</v>
      </c>
      <c r="G212" s="101"/>
      <c r="H212" s="142">
        <f>H211*F212</f>
        <v>1921.8461759900001</v>
      </c>
      <c r="I212" s="102"/>
      <c r="J212" s="103">
        <v>0.13</v>
      </c>
      <c r="K212" s="102"/>
      <c r="L212" s="147">
        <f>L211*J212</f>
        <v>1926.5554287200002</v>
      </c>
      <c r="M212" s="148"/>
      <c r="N212" s="149">
        <f>L212-H212</f>
        <v>4.7092527300001166</v>
      </c>
      <c r="O212" s="104">
        <f>IF((H212)=0,"",(N212/H212))</f>
        <v>2.4503796343504133E-3</v>
      </c>
      <c r="Q212" s="126"/>
      <c r="R212" s="126"/>
      <c r="S212" s="127"/>
      <c r="T212" s="126"/>
      <c r="U212" s="126"/>
      <c r="V212" s="126"/>
      <c r="W212" s="126"/>
      <c r="X212" s="126"/>
      <c r="Y212" s="126"/>
      <c r="Z212" s="126"/>
      <c r="AA212" s="126"/>
      <c r="AB212" s="126"/>
      <c r="AC212" s="126"/>
    </row>
    <row r="213" spans="1:63" x14ac:dyDescent="0.3">
      <c r="B213" s="105" t="s">
        <v>53</v>
      </c>
      <c r="C213" s="73"/>
      <c r="D213" s="73"/>
      <c r="E213" s="73"/>
      <c r="F213" s="106"/>
      <c r="G213" s="101"/>
      <c r="H213" s="142">
        <f>H211+H212</f>
        <v>16705.278298990001</v>
      </c>
      <c r="I213" s="102"/>
      <c r="J213" s="102"/>
      <c r="K213" s="102"/>
      <c r="L213" s="147">
        <f>L211+L212</f>
        <v>16746.21257272</v>
      </c>
      <c r="M213" s="148"/>
      <c r="N213" s="149">
        <f>L213-H213</f>
        <v>40.934273729999404</v>
      </c>
      <c r="O213" s="104">
        <f>IF((H213)=0,"",(N213/H213))</f>
        <v>2.450379634350317E-3</v>
      </c>
      <c r="Q213" s="126"/>
      <c r="R213" s="126"/>
      <c r="S213" s="127"/>
      <c r="T213" s="126"/>
      <c r="U213" s="126"/>
      <c r="V213" s="126"/>
      <c r="W213" s="126"/>
      <c r="X213" s="126"/>
      <c r="Y213" s="126"/>
      <c r="Z213" s="126"/>
      <c r="AA213" s="126"/>
      <c r="AB213" s="126"/>
      <c r="AC213" s="126"/>
    </row>
    <row r="214" spans="1:63" ht="14.4" customHeight="1" x14ac:dyDescent="0.3">
      <c r="B214" s="172" t="s">
        <v>54</v>
      </c>
      <c r="C214" s="172"/>
      <c r="D214" s="172"/>
      <c r="E214" s="73"/>
      <c r="F214" s="106"/>
      <c r="G214" s="101"/>
      <c r="H214" s="143">
        <v>0</v>
      </c>
      <c r="I214" s="102"/>
      <c r="J214" s="102"/>
      <c r="K214" s="102"/>
      <c r="L214" s="150">
        <v>0</v>
      </c>
      <c r="M214" s="148"/>
      <c r="N214" s="151">
        <f>L214-H214</f>
        <v>0</v>
      </c>
      <c r="O214" s="107" t="str">
        <f>IF((H214)=0,"",(N214/H214))</f>
        <v/>
      </c>
      <c r="Q214" s="126"/>
      <c r="R214" s="126"/>
      <c r="S214" s="126"/>
      <c r="T214" s="126"/>
      <c r="U214" s="126"/>
      <c r="V214" s="126"/>
      <c r="W214" s="126"/>
      <c r="X214" s="126"/>
      <c r="Y214" s="126"/>
      <c r="Z214" s="126"/>
      <c r="AA214" s="126"/>
      <c r="AB214" s="126"/>
      <c r="AC214" s="126"/>
    </row>
    <row r="215" spans="1:63" s="4" customFormat="1" ht="15" thickBot="1" x14ac:dyDescent="0.35">
      <c r="A215" s="60"/>
      <c r="B215" s="173" t="s">
        <v>55</v>
      </c>
      <c r="C215" s="173"/>
      <c r="D215" s="173"/>
      <c r="E215" s="42"/>
      <c r="F215" s="43"/>
      <c r="G215" s="44"/>
      <c r="H215" s="45">
        <f>H213+H214</f>
        <v>16705.278298990001</v>
      </c>
      <c r="I215" s="46"/>
      <c r="J215" s="46"/>
      <c r="K215" s="46"/>
      <c r="L215" s="47">
        <f>L213+L214</f>
        <v>16746.21257272</v>
      </c>
      <c r="M215" s="48"/>
      <c r="N215" s="49">
        <f>L215-H215</f>
        <v>40.934273729999404</v>
      </c>
      <c r="O215" s="50">
        <f>IF((H215)=0,"",(N215/H215))</f>
        <v>2.450379634350317E-3</v>
      </c>
      <c r="P215" s="60"/>
      <c r="Q215" s="126"/>
      <c r="R215" s="126"/>
      <c r="S215" s="126"/>
      <c r="T215" s="126"/>
      <c r="U215" s="126"/>
      <c r="V215" s="126"/>
      <c r="W215" s="126"/>
      <c r="X215" s="126"/>
      <c r="Y215" s="126"/>
      <c r="Z215" s="126"/>
      <c r="AA215" s="126"/>
      <c r="AB215" s="126"/>
      <c r="AC215" s="126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</row>
    <row r="216" spans="1:63" s="4" customFormat="1" ht="15" thickBot="1" x14ac:dyDescent="0.35">
      <c r="A216" s="60"/>
      <c r="B216" s="32"/>
      <c r="C216" s="33"/>
      <c r="D216" s="34"/>
      <c r="E216" s="33"/>
      <c r="F216" s="35"/>
      <c r="G216" s="36"/>
      <c r="H216" s="37"/>
      <c r="I216" s="38"/>
      <c r="J216" s="35"/>
      <c r="K216" s="39"/>
      <c r="L216" s="37"/>
      <c r="M216" s="123"/>
      <c r="N216" s="40"/>
      <c r="O216" s="41"/>
      <c r="P216" s="60"/>
      <c r="Q216" s="126"/>
      <c r="R216" s="126"/>
      <c r="S216" s="126"/>
      <c r="T216" s="126"/>
      <c r="U216" s="126"/>
      <c r="V216" s="126"/>
      <c r="W216" s="126"/>
      <c r="X216" s="126"/>
      <c r="Y216" s="126"/>
      <c r="Z216" s="126"/>
      <c r="AA216" s="126"/>
      <c r="AB216" s="126"/>
      <c r="AC216" s="126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</row>
    <row r="217" spans="1:63" s="92" customFormat="1" ht="13.2" x14ac:dyDescent="0.25">
      <c r="B217" s="108" t="s">
        <v>56</v>
      </c>
      <c r="C217" s="90"/>
      <c r="D217" s="90"/>
      <c r="E217" s="90"/>
      <c r="F217" s="109"/>
      <c r="G217" s="110"/>
      <c r="H217" s="152">
        <f>SUM(H208:H209,H200,H201:H204)</f>
        <v>15263.282123000001</v>
      </c>
      <c r="I217" s="111"/>
      <c r="J217" s="112"/>
      <c r="K217" s="112"/>
      <c r="L217" s="155">
        <f>SUM(L208:L209,L200,L201:L204)</f>
        <v>15299.507144000001</v>
      </c>
      <c r="M217" s="156"/>
      <c r="N217" s="157">
        <f>L217-H217</f>
        <v>36.225021000000197</v>
      </c>
      <c r="O217" s="98">
        <f>IF((H217)=0,"",(N217/H217))</f>
        <v>2.373344127958775E-3</v>
      </c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</row>
    <row r="218" spans="1:63" s="92" customFormat="1" ht="13.2" x14ac:dyDescent="0.25">
      <c r="B218" s="113" t="s">
        <v>52</v>
      </c>
      <c r="C218" s="90"/>
      <c r="D218" s="90"/>
      <c r="E218" s="90"/>
      <c r="F218" s="114">
        <v>0.13</v>
      </c>
      <c r="G218" s="110"/>
      <c r="H218" s="153">
        <f>H217*F218</f>
        <v>1984.2266759900001</v>
      </c>
      <c r="I218" s="115"/>
      <c r="J218" s="116">
        <v>0.13</v>
      </c>
      <c r="K218" s="117"/>
      <c r="L218" s="158">
        <f>L217*J218</f>
        <v>1988.9359287200002</v>
      </c>
      <c r="M218" s="159"/>
      <c r="N218" s="160">
        <f>L218-H218</f>
        <v>4.7092527300001166</v>
      </c>
      <c r="O218" s="104">
        <f>IF((H218)=0,"",(N218/H218))</f>
        <v>2.3733441279588209E-3</v>
      </c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</row>
    <row r="219" spans="1:63" s="92" customFormat="1" ht="13.2" x14ac:dyDescent="0.25">
      <c r="B219" s="118" t="s">
        <v>53</v>
      </c>
      <c r="C219" s="90"/>
      <c r="D219" s="90"/>
      <c r="E219" s="90"/>
      <c r="F219" s="119"/>
      <c r="G219" s="120"/>
      <c r="H219" s="153">
        <f>H217+H218</f>
        <v>17247.508798990002</v>
      </c>
      <c r="I219" s="115"/>
      <c r="J219" s="115"/>
      <c r="K219" s="115"/>
      <c r="L219" s="158">
        <f>L217+L218</f>
        <v>17288.443072720002</v>
      </c>
      <c r="M219" s="159"/>
      <c r="N219" s="160">
        <f>L219-H219</f>
        <v>40.934273729999404</v>
      </c>
      <c r="O219" s="104">
        <f>IF((H219)=0,"",(N219/H219))</f>
        <v>2.3733441279587273E-3</v>
      </c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</row>
    <row r="220" spans="1:63" s="92" customFormat="1" ht="13.2" customHeight="1" x14ac:dyDescent="0.25">
      <c r="B220" s="174" t="s">
        <v>54</v>
      </c>
      <c r="C220" s="174"/>
      <c r="D220" s="174"/>
      <c r="E220" s="90"/>
      <c r="F220" s="119"/>
      <c r="G220" s="120"/>
      <c r="H220" s="154">
        <v>0</v>
      </c>
      <c r="I220" s="115"/>
      <c r="J220" s="115"/>
      <c r="K220" s="115"/>
      <c r="L220" s="161">
        <v>0</v>
      </c>
      <c r="M220" s="159"/>
      <c r="N220" s="162">
        <f>L220-H220</f>
        <v>0</v>
      </c>
      <c r="O220" s="107" t="str">
        <f>IF((H220)=0,"",(N220/H220))</f>
        <v/>
      </c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28"/>
      <c r="AB220" s="128"/>
      <c r="AC220" s="128"/>
    </row>
    <row r="221" spans="1:63" s="4" customFormat="1" ht="15" thickBot="1" x14ac:dyDescent="0.35">
      <c r="A221" s="60"/>
      <c r="B221" s="173" t="s">
        <v>57</v>
      </c>
      <c r="C221" s="173"/>
      <c r="D221" s="173"/>
      <c r="E221" s="42"/>
      <c r="F221" s="43"/>
      <c r="G221" s="44"/>
      <c r="H221" s="45">
        <f>SUM(H219:H220)</f>
        <v>17247.508798990002</v>
      </c>
      <c r="I221" s="46"/>
      <c r="J221" s="46"/>
      <c r="K221" s="46"/>
      <c r="L221" s="47">
        <f>SUM(L219:L220)</f>
        <v>17288.443072720002</v>
      </c>
      <c r="M221" s="48"/>
      <c r="N221" s="49">
        <f>L221-H221</f>
        <v>40.934273729999404</v>
      </c>
      <c r="O221" s="50">
        <f>IF((H221)=0,"",(N221/H221))</f>
        <v>2.3733441279587273E-3</v>
      </c>
      <c r="P221" s="60"/>
      <c r="Q221" s="126"/>
      <c r="R221" s="126"/>
      <c r="S221" s="126"/>
      <c r="T221" s="126"/>
      <c r="U221" s="126"/>
      <c r="V221" s="126"/>
      <c r="W221" s="126"/>
      <c r="X221" s="126"/>
      <c r="Y221" s="126"/>
      <c r="Z221" s="126"/>
      <c r="AA221" s="126"/>
      <c r="AB221" s="126"/>
      <c r="AC221" s="126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</row>
    <row r="222" spans="1:63" s="4" customFormat="1" ht="15" thickBot="1" x14ac:dyDescent="0.35">
      <c r="A222" s="60"/>
      <c r="B222" s="32"/>
      <c r="C222" s="33"/>
      <c r="D222" s="34"/>
      <c r="E222" s="33"/>
      <c r="F222" s="35"/>
      <c r="G222" s="36"/>
      <c r="H222" s="122"/>
      <c r="I222" s="123"/>
      <c r="J222" s="35"/>
      <c r="K222" s="39"/>
      <c r="L222" s="37"/>
      <c r="M222" s="123"/>
      <c r="N222" s="40"/>
      <c r="O222" s="41"/>
      <c r="P222" s="60"/>
      <c r="Q222" s="126"/>
      <c r="R222" s="126"/>
      <c r="S222" s="126"/>
      <c r="T222" s="126"/>
      <c r="U222" s="126"/>
      <c r="V222" s="126"/>
      <c r="W222" s="126"/>
      <c r="X222" s="126"/>
      <c r="Y222" s="126"/>
      <c r="Z222" s="126"/>
      <c r="AA222" s="126"/>
      <c r="AB222" s="126"/>
      <c r="AC222" s="126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  <c r="AU222" s="60"/>
      <c r="AV222" s="60"/>
      <c r="AW222" s="60"/>
      <c r="AX222" s="60"/>
      <c r="AY222" s="60"/>
      <c r="AZ222" s="60"/>
      <c r="BA222" s="60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</row>
    <row r="223" spans="1:63" x14ac:dyDescent="0.3">
      <c r="L223" s="88"/>
    </row>
    <row r="224" spans="1:63" x14ac:dyDescent="0.3">
      <c r="B224" s="65" t="s">
        <v>58</v>
      </c>
      <c r="F224" s="51">
        <v>3.7699999999999997E-2</v>
      </c>
      <c r="J224" s="51">
        <f>+Residential!$J$74</f>
        <v>3.7600000000000001E-2</v>
      </c>
    </row>
    <row r="226" spans="1:16" x14ac:dyDescent="0.3">
      <c r="L226" s="56"/>
      <c r="M226" s="56"/>
      <c r="N226" s="56"/>
      <c r="O226" s="56"/>
      <c r="P226" s="56"/>
    </row>
    <row r="227" spans="1:16" ht="16.2" x14ac:dyDescent="0.3">
      <c r="A227" s="121" t="s">
        <v>59</v>
      </c>
    </row>
    <row r="229" spans="1:16" x14ac:dyDescent="0.3">
      <c r="A229" s="60" t="s">
        <v>60</v>
      </c>
    </row>
    <row r="230" spans="1:16" x14ac:dyDescent="0.3">
      <c r="A230" s="60" t="s">
        <v>61</v>
      </c>
    </row>
    <row r="232" spans="1:16" x14ac:dyDescent="0.3">
      <c r="B232" s="60" t="s">
        <v>62</v>
      </c>
    </row>
    <row r="235" spans="1:16" ht="18.75" customHeight="1" x14ac:dyDescent="0.3">
      <c r="B235" s="175" t="s">
        <v>6</v>
      </c>
      <c r="C235" s="175"/>
      <c r="D235" s="175"/>
      <c r="E235" s="175"/>
      <c r="F235" s="175"/>
      <c r="G235" s="175"/>
      <c r="H235" s="175"/>
      <c r="I235" s="175"/>
      <c r="J235" s="175"/>
      <c r="K235" s="175"/>
      <c r="L235" s="175"/>
      <c r="M235" s="175"/>
      <c r="N235" s="175"/>
      <c r="O235" s="175"/>
      <c r="P235" s="56"/>
    </row>
    <row r="236" spans="1:16" ht="18.75" customHeight="1" x14ac:dyDescent="0.3">
      <c r="B236" s="175" t="s">
        <v>7</v>
      </c>
      <c r="C236" s="175"/>
      <c r="D236" s="175"/>
      <c r="E236" s="175"/>
      <c r="F236" s="175"/>
      <c r="G236" s="175"/>
      <c r="H236" s="175"/>
      <c r="I236" s="175"/>
      <c r="J236" s="175"/>
      <c r="K236" s="175"/>
      <c r="L236" s="175"/>
      <c r="M236" s="175"/>
      <c r="N236" s="175"/>
      <c r="O236" s="175"/>
      <c r="P236" s="56"/>
    </row>
    <row r="237" spans="1:16" ht="7.5" customHeight="1" x14ac:dyDescent="0.3">
      <c r="L237" s="56"/>
      <c r="M237" s="56"/>
      <c r="N237" s="56"/>
      <c r="O237" s="56"/>
      <c r="P237" s="56"/>
    </row>
    <row r="238" spans="1:16" ht="7.5" customHeight="1" x14ac:dyDescent="0.3">
      <c r="L238" s="56"/>
      <c r="M238" s="56"/>
      <c r="N238" s="56"/>
      <c r="O238" s="56"/>
      <c r="P238" s="56"/>
    </row>
    <row r="239" spans="1:16" ht="15.6" x14ac:dyDescent="0.3">
      <c r="B239" s="61" t="s">
        <v>8</v>
      </c>
      <c r="D239" s="185" t="s">
        <v>68</v>
      </c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</row>
    <row r="240" spans="1:16" ht="7.5" customHeight="1" x14ac:dyDescent="0.3">
      <c r="B240" s="62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</row>
    <row r="241" spans="2:29" ht="15.6" x14ac:dyDescent="0.3">
      <c r="B241" s="61" t="s">
        <v>9</v>
      </c>
      <c r="D241" s="5" t="s">
        <v>63</v>
      </c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</row>
    <row r="242" spans="2:29" ht="15.6" x14ac:dyDescent="0.3">
      <c r="B242" s="62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</row>
    <row r="243" spans="2:29" x14ac:dyDescent="0.3">
      <c r="B243" s="64"/>
      <c r="D243" s="65" t="s">
        <v>11</v>
      </c>
      <c r="E243" s="65"/>
      <c r="F243" s="6">
        <v>500</v>
      </c>
      <c r="G243" s="65" t="s">
        <v>64</v>
      </c>
    </row>
    <row r="244" spans="2:29" x14ac:dyDescent="0.3">
      <c r="B244" s="64"/>
      <c r="F244" s="6">
        <v>200000</v>
      </c>
      <c r="G244" s="65" t="s">
        <v>12</v>
      </c>
    </row>
    <row r="245" spans="2:29" x14ac:dyDescent="0.3">
      <c r="B245" s="64"/>
      <c r="D245" s="66"/>
      <c r="E245" s="66"/>
      <c r="F245" s="176" t="s">
        <v>13</v>
      </c>
      <c r="G245" s="177"/>
      <c r="H245" s="178"/>
      <c r="J245" s="176" t="s">
        <v>14</v>
      </c>
      <c r="K245" s="177"/>
      <c r="L245" s="178"/>
      <c r="N245" s="176" t="s">
        <v>15</v>
      </c>
      <c r="O245" s="178"/>
      <c r="Q245" s="126"/>
      <c r="R245" s="126"/>
      <c r="S245" s="126"/>
      <c r="T245" s="126"/>
      <c r="U245" s="126"/>
      <c r="V245" s="126"/>
      <c r="W245" s="126"/>
      <c r="X245" s="126"/>
      <c r="Y245" s="126"/>
      <c r="Z245" s="126"/>
      <c r="AA245" s="126"/>
      <c r="AB245" s="126"/>
      <c r="AC245" s="126"/>
    </row>
    <row r="246" spans="2:29" x14ac:dyDescent="0.3">
      <c r="B246" s="64"/>
      <c r="D246" s="179" t="s">
        <v>16</v>
      </c>
      <c r="E246" s="67"/>
      <c r="F246" s="68" t="s">
        <v>17</v>
      </c>
      <c r="G246" s="68" t="s">
        <v>18</v>
      </c>
      <c r="H246" s="69" t="s">
        <v>19</v>
      </c>
      <c r="J246" s="68" t="s">
        <v>17</v>
      </c>
      <c r="K246" s="70" t="s">
        <v>18</v>
      </c>
      <c r="L246" s="69" t="s">
        <v>19</v>
      </c>
      <c r="N246" s="181" t="s">
        <v>20</v>
      </c>
      <c r="O246" s="183" t="s">
        <v>21</v>
      </c>
      <c r="Q246" s="126"/>
      <c r="R246" s="126"/>
      <c r="S246" s="126"/>
      <c r="T246" s="126"/>
      <c r="U246" s="126"/>
      <c r="V246" s="126"/>
      <c r="W246" s="126"/>
      <c r="X246" s="126"/>
      <c r="Y246" s="126"/>
      <c r="Z246" s="126"/>
      <c r="AA246" s="126"/>
      <c r="AB246" s="126"/>
      <c r="AC246" s="126"/>
    </row>
    <row r="247" spans="2:29" x14ac:dyDescent="0.3">
      <c r="B247" s="64"/>
      <c r="D247" s="180"/>
      <c r="E247" s="67"/>
      <c r="F247" s="71" t="s">
        <v>22</v>
      </c>
      <c r="G247" s="71"/>
      <c r="H247" s="72" t="s">
        <v>22</v>
      </c>
      <c r="J247" s="71" t="s">
        <v>22</v>
      </c>
      <c r="K247" s="72"/>
      <c r="L247" s="72" t="s">
        <v>22</v>
      </c>
      <c r="N247" s="182"/>
      <c r="O247" s="184"/>
      <c r="Q247" s="126"/>
      <c r="R247" s="126"/>
      <c r="S247" s="126"/>
      <c r="T247" s="126"/>
      <c r="U247" s="126"/>
      <c r="V247" s="126"/>
      <c r="W247" s="126"/>
      <c r="X247" s="126"/>
      <c r="Y247" s="126"/>
      <c r="Z247" s="126"/>
      <c r="AA247" s="126"/>
      <c r="AB247" s="126"/>
      <c r="AC247" s="126"/>
    </row>
    <row r="248" spans="2:29" x14ac:dyDescent="0.3">
      <c r="B248" s="73" t="s">
        <v>23</v>
      </c>
      <c r="C248" s="73"/>
      <c r="D248" s="7" t="s">
        <v>24</v>
      </c>
      <c r="E248" s="73"/>
      <c r="F248" s="129">
        <v>118.45</v>
      </c>
      <c r="G248" s="74">
        <v>1</v>
      </c>
      <c r="H248" s="75">
        <f t="shared" ref="H248:H263" si="27">G248*F248</f>
        <v>118.45</v>
      </c>
      <c r="I248" s="76"/>
      <c r="J248" s="129">
        <v>118.45</v>
      </c>
      <c r="K248" s="77">
        <v>1</v>
      </c>
      <c r="L248" s="75">
        <f t="shared" ref="L248:L263" si="28">K248*J248</f>
        <v>118.45</v>
      </c>
      <c r="M248" s="76"/>
      <c r="N248" s="78">
        <f t="shared" ref="N248:N284" si="29">L248-H248</f>
        <v>0</v>
      </c>
      <c r="O248" s="79">
        <f t="shared" ref="O248:O270" si="30">IF((H248)=0,"",(N248/H248))</f>
        <v>0</v>
      </c>
      <c r="Q248" s="126"/>
      <c r="R248" s="126"/>
      <c r="S248" s="126"/>
      <c r="T248" s="126"/>
      <c r="U248" s="126"/>
      <c r="V248" s="126"/>
      <c r="W248" s="126"/>
      <c r="X248" s="126"/>
      <c r="Y248" s="126"/>
      <c r="Z248" s="126"/>
      <c r="AA248" s="126"/>
      <c r="AB248" s="126"/>
      <c r="AC248" s="126"/>
    </row>
    <row r="249" spans="2:29" x14ac:dyDescent="0.3">
      <c r="B249" s="73" t="s">
        <v>25</v>
      </c>
      <c r="C249" s="73"/>
      <c r="D249" s="7" t="s">
        <v>24</v>
      </c>
      <c r="E249" s="73"/>
      <c r="F249" s="133"/>
      <c r="G249" s="74">
        <v>1</v>
      </c>
      <c r="H249" s="136">
        <f t="shared" si="27"/>
        <v>0</v>
      </c>
      <c r="I249" s="76"/>
      <c r="J249" s="130"/>
      <c r="K249" s="77">
        <v>1</v>
      </c>
      <c r="L249" s="136">
        <f t="shared" si="28"/>
        <v>0</v>
      </c>
      <c r="M249" s="76"/>
      <c r="N249" s="137">
        <f t="shared" si="29"/>
        <v>0</v>
      </c>
      <c r="O249" s="79" t="str">
        <f t="shared" si="30"/>
        <v/>
      </c>
      <c r="Q249" s="126"/>
      <c r="R249" s="126"/>
      <c r="S249" s="126"/>
      <c r="T249" s="126"/>
      <c r="U249" s="126"/>
      <c r="V249" s="126"/>
      <c r="W249" s="126"/>
      <c r="X249" s="126"/>
      <c r="Y249" s="126"/>
      <c r="Z249" s="126"/>
      <c r="AA249" s="126"/>
      <c r="AB249" s="126"/>
      <c r="AC249" s="126"/>
    </row>
    <row r="250" spans="2:29" x14ac:dyDescent="0.3">
      <c r="B250" s="9"/>
      <c r="C250" s="73"/>
      <c r="D250" s="7"/>
      <c r="E250" s="73"/>
      <c r="F250" s="134"/>
      <c r="G250" s="74">
        <v>1</v>
      </c>
      <c r="H250" s="136">
        <f t="shared" si="27"/>
        <v>0</v>
      </c>
      <c r="I250" s="76"/>
      <c r="J250" s="131"/>
      <c r="K250" s="77">
        <v>1</v>
      </c>
      <c r="L250" s="136">
        <f t="shared" si="28"/>
        <v>0</v>
      </c>
      <c r="M250" s="76"/>
      <c r="N250" s="137">
        <f t="shared" si="29"/>
        <v>0</v>
      </c>
      <c r="O250" s="79" t="str">
        <f t="shared" si="30"/>
        <v/>
      </c>
      <c r="Q250" s="126"/>
      <c r="R250" s="126"/>
      <c r="S250" s="126"/>
      <c r="T250" s="126"/>
      <c r="U250" s="126"/>
      <c r="V250" s="126"/>
      <c r="W250" s="126"/>
      <c r="X250" s="126"/>
      <c r="Y250" s="126"/>
      <c r="Z250" s="126"/>
      <c r="AA250" s="126"/>
      <c r="AB250" s="126"/>
      <c r="AC250" s="126"/>
    </row>
    <row r="251" spans="2:29" x14ac:dyDescent="0.3">
      <c r="B251" s="9"/>
      <c r="C251" s="73"/>
      <c r="D251" s="7"/>
      <c r="E251" s="73"/>
      <c r="F251" s="134"/>
      <c r="G251" s="74">
        <v>1</v>
      </c>
      <c r="H251" s="136">
        <f t="shared" si="27"/>
        <v>0</v>
      </c>
      <c r="I251" s="76"/>
      <c r="J251" s="131"/>
      <c r="K251" s="77">
        <v>1</v>
      </c>
      <c r="L251" s="136">
        <f t="shared" si="28"/>
        <v>0</v>
      </c>
      <c r="M251" s="76"/>
      <c r="N251" s="137">
        <f t="shared" si="29"/>
        <v>0</v>
      </c>
      <c r="O251" s="79" t="str">
        <f t="shared" si="30"/>
        <v/>
      </c>
      <c r="Q251" s="126"/>
      <c r="R251" s="126"/>
      <c r="S251" s="126"/>
      <c r="T251" s="126"/>
      <c r="U251" s="126"/>
      <c r="V251" s="126"/>
      <c r="W251" s="126"/>
      <c r="X251" s="126"/>
      <c r="Y251" s="126"/>
      <c r="Z251" s="126"/>
      <c r="AA251" s="126"/>
      <c r="AB251" s="126"/>
      <c r="AC251" s="126"/>
    </row>
    <row r="252" spans="2:29" x14ac:dyDescent="0.3">
      <c r="B252" s="10"/>
      <c r="C252" s="73"/>
      <c r="D252" s="7"/>
      <c r="E252" s="73"/>
      <c r="F252" s="134"/>
      <c r="G252" s="74">
        <v>1</v>
      </c>
      <c r="H252" s="136">
        <f t="shared" si="27"/>
        <v>0</v>
      </c>
      <c r="I252" s="76"/>
      <c r="J252" s="131"/>
      <c r="K252" s="77">
        <v>1</v>
      </c>
      <c r="L252" s="136">
        <f t="shared" si="28"/>
        <v>0</v>
      </c>
      <c r="M252" s="76"/>
      <c r="N252" s="137">
        <f t="shared" si="29"/>
        <v>0</v>
      </c>
      <c r="O252" s="79" t="str">
        <f t="shared" si="30"/>
        <v/>
      </c>
      <c r="Q252" s="126"/>
      <c r="R252" s="126"/>
      <c r="S252" s="126"/>
      <c r="T252" s="126"/>
      <c r="U252" s="126"/>
      <c r="V252" s="126"/>
      <c r="W252" s="126"/>
      <c r="X252" s="126"/>
      <c r="Y252" s="126"/>
      <c r="Z252" s="126"/>
      <c r="AA252" s="126"/>
      <c r="AB252" s="126"/>
      <c r="AC252" s="126"/>
    </row>
    <row r="253" spans="2:29" x14ac:dyDescent="0.3">
      <c r="B253" s="10"/>
      <c r="C253" s="73"/>
      <c r="D253" s="7"/>
      <c r="E253" s="73"/>
      <c r="F253" s="134"/>
      <c r="G253" s="74">
        <v>1</v>
      </c>
      <c r="H253" s="136">
        <f t="shared" si="27"/>
        <v>0</v>
      </c>
      <c r="I253" s="76"/>
      <c r="J253" s="131"/>
      <c r="K253" s="77">
        <v>1</v>
      </c>
      <c r="L253" s="136">
        <f t="shared" si="28"/>
        <v>0</v>
      </c>
      <c r="M253" s="76"/>
      <c r="N253" s="137">
        <f t="shared" si="29"/>
        <v>0</v>
      </c>
      <c r="O253" s="79" t="str">
        <f t="shared" si="30"/>
        <v/>
      </c>
      <c r="Q253" s="126"/>
      <c r="R253" s="126"/>
      <c r="S253" s="126"/>
      <c r="T253" s="126"/>
      <c r="U253" s="126"/>
      <c r="V253" s="126"/>
      <c r="W253" s="126"/>
      <c r="X253" s="126"/>
      <c r="Y253" s="126"/>
      <c r="Z253" s="126"/>
      <c r="AA253" s="126"/>
      <c r="AB253" s="126"/>
      <c r="AC253" s="126"/>
    </row>
    <row r="254" spans="2:29" x14ac:dyDescent="0.3">
      <c r="B254" s="73" t="s">
        <v>26</v>
      </c>
      <c r="C254" s="73"/>
      <c r="D254" s="7" t="s">
        <v>67</v>
      </c>
      <c r="E254" s="73"/>
      <c r="F254" s="135">
        <v>3.6776</v>
      </c>
      <c r="G254" s="74">
        <f>$F243</f>
        <v>500</v>
      </c>
      <c r="H254" s="136">
        <f t="shared" si="27"/>
        <v>1838.8</v>
      </c>
      <c r="I254" s="76"/>
      <c r="J254" s="132">
        <v>4.6319999999999997</v>
      </c>
      <c r="K254" s="74">
        <f>$F243</f>
        <v>500</v>
      </c>
      <c r="L254" s="136">
        <f t="shared" si="28"/>
        <v>2316</v>
      </c>
      <c r="M254" s="76"/>
      <c r="N254" s="137">
        <f t="shared" si="29"/>
        <v>477.20000000000005</v>
      </c>
      <c r="O254" s="79">
        <f t="shared" si="30"/>
        <v>0.25951707635414406</v>
      </c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  <c r="AB254" s="126"/>
      <c r="AC254" s="126"/>
    </row>
    <row r="255" spans="2:29" x14ac:dyDescent="0.3">
      <c r="B255" s="73" t="s">
        <v>28</v>
      </c>
      <c r="C255" s="73"/>
      <c r="D255" s="7" t="s">
        <v>24</v>
      </c>
      <c r="E255" s="73"/>
      <c r="F255" s="135"/>
      <c r="G255" s="74">
        <v>1</v>
      </c>
      <c r="H255" s="136">
        <f t="shared" si="27"/>
        <v>0</v>
      </c>
      <c r="I255" s="76"/>
      <c r="J255" s="132"/>
      <c r="K255" s="74">
        <v>1</v>
      </c>
      <c r="L255" s="136">
        <f t="shared" si="28"/>
        <v>0</v>
      </c>
      <c r="M255" s="76"/>
      <c r="N255" s="137">
        <f t="shared" si="29"/>
        <v>0</v>
      </c>
      <c r="O255" s="79" t="str">
        <f t="shared" si="30"/>
        <v/>
      </c>
      <c r="Q255" s="126"/>
      <c r="R255" s="126"/>
      <c r="S255" s="126"/>
      <c r="T255" s="126"/>
      <c r="U255" s="126"/>
      <c r="V255" s="126"/>
      <c r="W255" s="126"/>
      <c r="X255" s="126"/>
      <c r="Y255" s="126"/>
      <c r="Z255" s="126"/>
      <c r="AA255" s="126"/>
      <c r="AB255" s="126"/>
      <c r="AC255" s="126"/>
    </row>
    <row r="256" spans="2:29" x14ac:dyDescent="0.3">
      <c r="B256" s="73" t="s">
        <v>29</v>
      </c>
      <c r="C256" s="73"/>
      <c r="D256" s="7" t="s">
        <v>67</v>
      </c>
      <c r="E256" s="73"/>
      <c r="F256" s="135">
        <v>3.3E-3</v>
      </c>
      <c r="G256" s="74">
        <f>$F243</f>
        <v>500</v>
      </c>
      <c r="H256" s="136">
        <f t="shared" si="27"/>
        <v>1.65</v>
      </c>
      <c r="I256" s="76"/>
      <c r="J256" s="171">
        <v>0</v>
      </c>
      <c r="K256" s="74">
        <f>$F243</f>
        <v>500</v>
      </c>
      <c r="L256" s="136">
        <f t="shared" si="28"/>
        <v>0</v>
      </c>
      <c r="M256" s="76"/>
      <c r="N256" s="137">
        <f t="shared" si="29"/>
        <v>-1.65</v>
      </c>
      <c r="O256" s="79">
        <f t="shared" si="30"/>
        <v>-1</v>
      </c>
      <c r="Q256" s="126"/>
      <c r="R256" s="126"/>
      <c r="S256" s="126"/>
      <c r="T256" s="126"/>
      <c r="U256" s="126"/>
      <c r="V256" s="126"/>
      <c r="W256" s="126"/>
      <c r="X256" s="126"/>
      <c r="Y256" s="126"/>
      <c r="Z256" s="126"/>
      <c r="AA256" s="126"/>
      <c r="AB256" s="126"/>
      <c r="AC256" s="126"/>
    </row>
    <row r="257" spans="1:63" x14ac:dyDescent="0.3">
      <c r="B257" s="11" t="s">
        <v>30</v>
      </c>
      <c r="C257" s="73"/>
      <c r="D257" s="7" t="s">
        <v>67</v>
      </c>
      <c r="E257" s="73"/>
      <c r="F257" s="135">
        <v>0.25109999999999999</v>
      </c>
      <c r="G257" s="74">
        <f>$F243</f>
        <v>500</v>
      </c>
      <c r="H257" s="136">
        <f t="shared" si="27"/>
        <v>125.55</v>
      </c>
      <c r="I257" s="76"/>
      <c r="J257" s="132"/>
      <c r="K257" s="74">
        <f>$F243</f>
        <v>500</v>
      </c>
      <c r="L257" s="136">
        <f t="shared" si="28"/>
        <v>0</v>
      </c>
      <c r="M257" s="76"/>
      <c r="N257" s="137">
        <f t="shared" si="29"/>
        <v>-125.55</v>
      </c>
      <c r="O257" s="79">
        <f t="shared" si="30"/>
        <v>-1</v>
      </c>
      <c r="Q257" s="126"/>
      <c r="R257" s="126"/>
      <c r="S257" s="126"/>
      <c r="T257" s="126"/>
      <c r="U257" s="126"/>
      <c r="V257" s="126"/>
      <c r="W257" s="126"/>
      <c r="X257" s="126"/>
      <c r="Y257" s="126"/>
      <c r="Z257" s="126"/>
      <c r="AA257" s="126"/>
      <c r="AB257" s="126"/>
      <c r="AC257" s="126"/>
    </row>
    <row r="258" spans="1:63" x14ac:dyDescent="0.3">
      <c r="B258" s="11" t="s">
        <v>31</v>
      </c>
      <c r="C258" s="73"/>
      <c r="D258" s="7" t="s">
        <v>67</v>
      </c>
      <c r="E258" s="73"/>
      <c r="F258" s="135">
        <v>-4.65E-2</v>
      </c>
      <c r="G258" s="74">
        <f>$F243</f>
        <v>500</v>
      </c>
      <c r="H258" s="136">
        <f t="shared" si="27"/>
        <v>-23.25</v>
      </c>
      <c r="I258" s="76"/>
      <c r="J258" s="132"/>
      <c r="K258" s="74">
        <f>$F243</f>
        <v>500</v>
      </c>
      <c r="L258" s="136">
        <f t="shared" si="28"/>
        <v>0</v>
      </c>
      <c r="M258" s="76"/>
      <c r="N258" s="137">
        <f t="shared" si="29"/>
        <v>23.25</v>
      </c>
      <c r="O258" s="79">
        <f t="shared" si="30"/>
        <v>-1</v>
      </c>
      <c r="Q258" s="126"/>
      <c r="R258" s="126"/>
      <c r="S258" s="126"/>
      <c r="T258" s="126"/>
      <c r="U258" s="126"/>
      <c r="V258" s="126"/>
      <c r="W258" s="126"/>
      <c r="X258" s="126"/>
      <c r="Y258" s="126"/>
      <c r="Z258" s="126"/>
      <c r="AA258" s="126"/>
      <c r="AB258" s="126"/>
      <c r="AC258" s="126"/>
    </row>
    <row r="259" spans="1:63" x14ac:dyDescent="0.3">
      <c r="B259" s="11" t="s">
        <v>32</v>
      </c>
      <c r="C259" s="73"/>
      <c r="D259" s="7" t="s">
        <v>24</v>
      </c>
      <c r="E259" s="73"/>
      <c r="F259" s="135"/>
      <c r="G259" s="74">
        <v>1</v>
      </c>
      <c r="H259" s="136">
        <f t="shared" si="27"/>
        <v>0</v>
      </c>
      <c r="I259" s="76"/>
      <c r="J259" s="132"/>
      <c r="K259" s="74">
        <v>1</v>
      </c>
      <c r="L259" s="136">
        <f t="shared" si="28"/>
        <v>0</v>
      </c>
      <c r="M259" s="76"/>
      <c r="N259" s="137">
        <f t="shared" si="29"/>
        <v>0</v>
      </c>
      <c r="O259" s="79" t="str">
        <f t="shared" si="30"/>
        <v/>
      </c>
      <c r="Q259" s="126"/>
      <c r="R259" s="126"/>
      <c r="S259" s="126"/>
      <c r="T259" s="126"/>
      <c r="U259" s="126"/>
      <c r="V259" s="126"/>
      <c r="W259" s="126"/>
      <c r="X259" s="126"/>
      <c r="Y259" s="126"/>
      <c r="Z259" s="126"/>
      <c r="AA259" s="126"/>
      <c r="AB259" s="126"/>
      <c r="AC259" s="126"/>
    </row>
    <row r="260" spans="1:63" x14ac:dyDescent="0.3">
      <c r="B260" s="12" t="str">
        <f>+Residential!$B$35</f>
        <v>Rate Rider for Disposition of Account 1576</v>
      </c>
      <c r="C260" s="73"/>
      <c r="D260" s="7" t="s">
        <v>67</v>
      </c>
      <c r="E260" s="73"/>
      <c r="F260" s="134"/>
      <c r="G260" s="74">
        <f>$F243</f>
        <v>500</v>
      </c>
      <c r="H260" s="136">
        <f t="shared" si="27"/>
        <v>0</v>
      </c>
      <c r="I260" s="76"/>
      <c r="J260" s="132">
        <v>-0.21049999999999999</v>
      </c>
      <c r="K260" s="74">
        <f>$F243</f>
        <v>500</v>
      </c>
      <c r="L260" s="136">
        <f t="shared" si="28"/>
        <v>-105.25</v>
      </c>
      <c r="M260" s="76"/>
      <c r="N260" s="137">
        <f t="shared" si="29"/>
        <v>-105.25</v>
      </c>
      <c r="O260" s="79" t="str">
        <f t="shared" si="30"/>
        <v/>
      </c>
      <c r="Q260" s="126"/>
      <c r="R260" s="126"/>
      <c r="S260" s="126"/>
      <c r="T260" s="126"/>
      <c r="U260" s="126"/>
      <c r="V260" s="126"/>
      <c r="W260" s="126"/>
      <c r="X260" s="126"/>
      <c r="Y260" s="126"/>
      <c r="Z260" s="126"/>
      <c r="AA260" s="126"/>
      <c r="AB260" s="126"/>
      <c r="AC260" s="126"/>
    </row>
    <row r="261" spans="1:63" x14ac:dyDescent="0.3">
      <c r="B261" s="12" t="str">
        <f>+Residential!$B$36</f>
        <v xml:space="preserve">Rate Rider for Disposition of CGAAP CWIP differential </v>
      </c>
      <c r="C261" s="73"/>
      <c r="D261" s="7" t="s">
        <v>67</v>
      </c>
      <c r="E261" s="73"/>
      <c r="F261" s="134"/>
      <c r="G261" s="74">
        <f>$F243</f>
        <v>500</v>
      </c>
      <c r="H261" s="136">
        <f t="shared" si="27"/>
        <v>0</v>
      </c>
      <c r="I261" s="76"/>
      <c r="J261" s="132">
        <v>0.1138</v>
      </c>
      <c r="K261" s="74">
        <f>$F243</f>
        <v>500</v>
      </c>
      <c r="L261" s="136">
        <f t="shared" si="28"/>
        <v>56.9</v>
      </c>
      <c r="M261" s="76"/>
      <c r="N261" s="137">
        <f t="shared" si="29"/>
        <v>56.9</v>
      </c>
      <c r="O261" s="79" t="str">
        <f t="shared" si="30"/>
        <v/>
      </c>
      <c r="Q261" s="126"/>
      <c r="R261" s="126"/>
      <c r="S261" s="126"/>
      <c r="T261" s="126"/>
      <c r="U261" s="126"/>
      <c r="V261" s="126"/>
      <c r="W261" s="126"/>
      <c r="X261" s="126"/>
      <c r="Y261" s="126"/>
      <c r="Z261" s="126"/>
      <c r="AA261" s="126"/>
      <c r="AB261" s="126"/>
      <c r="AC261" s="126"/>
    </row>
    <row r="262" spans="1:63" x14ac:dyDescent="0.3">
      <c r="B262" s="12" t="str">
        <f>+Residential!$B$37</f>
        <v xml:space="preserve">Rate Rider for Disposition of Incremental Capital Expenditures </v>
      </c>
      <c r="C262" s="73"/>
      <c r="D262" s="7" t="s">
        <v>67</v>
      </c>
      <c r="E262" s="73"/>
      <c r="F262" s="131"/>
      <c r="G262" s="74">
        <f>$F243</f>
        <v>500</v>
      </c>
      <c r="H262" s="136">
        <f t="shared" si="27"/>
        <v>0</v>
      </c>
      <c r="I262" s="76"/>
      <c r="J262" s="132">
        <v>6.8199999999999997E-2</v>
      </c>
      <c r="K262" s="74">
        <f>$F243</f>
        <v>500</v>
      </c>
      <c r="L262" s="136">
        <f t="shared" si="28"/>
        <v>34.1</v>
      </c>
      <c r="M262" s="76"/>
      <c r="N262" s="137">
        <f t="shared" si="29"/>
        <v>34.1</v>
      </c>
      <c r="O262" s="79" t="str">
        <f t="shared" si="30"/>
        <v/>
      </c>
      <c r="Q262" s="126"/>
      <c r="R262" s="126"/>
      <c r="S262" s="126"/>
      <c r="T262" s="126"/>
      <c r="U262" s="126"/>
      <c r="V262" s="126"/>
      <c r="W262" s="126"/>
      <c r="X262" s="126"/>
      <c r="Y262" s="126"/>
      <c r="Z262" s="126"/>
      <c r="AA262" s="126"/>
      <c r="AB262" s="126"/>
      <c r="AC262" s="126"/>
    </row>
    <row r="263" spans="1:63" x14ac:dyDescent="0.3">
      <c r="B263" s="12"/>
      <c r="C263" s="73"/>
      <c r="D263" s="7"/>
      <c r="E263" s="73"/>
      <c r="F263" s="131"/>
      <c r="G263" s="74">
        <f>$F243</f>
        <v>500</v>
      </c>
      <c r="H263" s="136">
        <f t="shared" si="27"/>
        <v>0</v>
      </c>
      <c r="I263" s="76"/>
      <c r="J263" s="131"/>
      <c r="K263" s="74">
        <f>$F243</f>
        <v>500</v>
      </c>
      <c r="L263" s="136">
        <f t="shared" si="28"/>
        <v>0</v>
      </c>
      <c r="M263" s="76"/>
      <c r="N263" s="137">
        <f t="shared" si="29"/>
        <v>0</v>
      </c>
      <c r="O263" s="79" t="str">
        <f t="shared" si="30"/>
        <v/>
      </c>
      <c r="Q263" s="126"/>
      <c r="R263" s="126"/>
      <c r="S263" s="126"/>
      <c r="T263" s="126"/>
      <c r="U263" s="126"/>
      <c r="V263" s="126"/>
      <c r="W263" s="126"/>
      <c r="X263" s="126"/>
      <c r="Y263" s="126"/>
      <c r="Z263" s="126"/>
      <c r="AA263" s="126"/>
      <c r="AB263" s="126"/>
      <c r="AC263" s="126"/>
    </row>
    <row r="264" spans="1:63" s="4" customFormat="1" x14ac:dyDescent="0.3">
      <c r="A264" s="60"/>
      <c r="B264" s="19" t="s">
        <v>33</v>
      </c>
      <c r="C264" s="20"/>
      <c r="D264" s="20"/>
      <c r="E264" s="20"/>
      <c r="F264" s="21"/>
      <c r="G264" s="22"/>
      <c r="H264" s="23">
        <f>SUM(H248:H263)</f>
        <v>2061.2000000000003</v>
      </c>
      <c r="I264" s="13"/>
      <c r="J264" s="14"/>
      <c r="K264" s="24"/>
      <c r="L264" s="23">
        <f>SUM(L248:L263)</f>
        <v>2420.1999999999998</v>
      </c>
      <c r="M264" s="13"/>
      <c r="N264" s="15">
        <f t="shared" si="29"/>
        <v>358.99999999999955</v>
      </c>
      <c r="O264" s="16">
        <f t="shared" si="30"/>
        <v>0.17417038618280589</v>
      </c>
      <c r="P264" s="60"/>
      <c r="Q264" s="126"/>
      <c r="R264" s="126"/>
      <c r="S264" s="126"/>
      <c r="T264" s="126"/>
      <c r="U264" s="126"/>
      <c r="V264" s="126"/>
      <c r="W264" s="126"/>
      <c r="X264" s="126"/>
      <c r="Y264" s="126"/>
      <c r="Z264" s="126"/>
      <c r="AA264" s="126"/>
      <c r="AB264" s="126"/>
      <c r="AC264" s="126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</row>
    <row r="265" spans="1:63" x14ac:dyDescent="0.3">
      <c r="B265" s="17" t="s">
        <v>34</v>
      </c>
      <c r="C265" s="73"/>
      <c r="D265" s="7" t="s">
        <v>67</v>
      </c>
      <c r="E265" s="73"/>
      <c r="F265" s="135">
        <v>9.5299999999999996E-2</v>
      </c>
      <c r="G265" s="74">
        <f>$F243</f>
        <v>500</v>
      </c>
      <c r="H265" s="136">
        <f t="shared" ref="H265:H271" si="31">G265*F265</f>
        <v>47.65</v>
      </c>
      <c r="I265" s="76"/>
      <c r="J265" s="132">
        <v>-0.52270000000000005</v>
      </c>
      <c r="K265" s="74">
        <f>$F243</f>
        <v>500</v>
      </c>
      <c r="L265" s="136">
        <f t="shared" ref="L265:L271" si="32">K265*J265</f>
        <v>-261.35000000000002</v>
      </c>
      <c r="M265" s="76"/>
      <c r="N265" s="137">
        <f t="shared" si="29"/>
        <v>-309</v>
      </c>
      <c r="O265" s="79">
        <f t="shared" si="30"/>
        <v>-6.4847848898216158</v>
      </c>
      <c r="Q265" s="126"/>
      <c r="R265" s="126"/>
      <c r="S265" s="126"/>
      <c r="T265" s="126"/>
      <c r="U265" s="126"/>
      <c r="V265" s="126"/>
      <c r="W265" s="126"/>
      <c r="X265" s="126"/>
      <c r="Y265" s="126"/>
      <c r="Z265" s="126"/>
      <c r="AA265" s="126"/>
      <c r="AB265" s="126"/>
      <c r="AC265" s="126"/>
    </row>
    <row r="266" spans="1:63" x14ac:dyDescent="0.3">
      <c r="B266" s="17"/>
      <c r="C266" s="73"/>
      <c r="D266" s="7"/>
      <c r="E266" s="73"/>
      <c r="F266" s="8"/>
      <c r="G266" s="74">
        <f>$F243</f>
        <v>500</v>
      </c>
      <c r="H266" s="136">
        <f t="shared" si="31"/>
        <v>0</v>
      </c>
      <c r="I266" s="82"/>
      <c r="J266" s="8"/>
      <c r="K266" s="74">
        <f>$F243</f>
        <v>500</v>
      </c>
      <c r="L266" s="136">
        <f t="shared" si="32"/>
        <v>0</v>
      </c>
      <c r="M266" s="83"/>
      <c r="N266" s="137">
        <f t="shared" si="29"/>
        <v>0</v>
      </c>
      <c r="O266" s="79" t="str">
        <f t="shared" si="30"/>
        <v/>
      </c>
      <c r="Q266" s="126"/>
      <c r="R266" s="126"/>
      <c r="S266" s="126"/>
      <c r="T266" s="126"/>
      <c r="U266" s="126"/>
      <c r="V266" s="126"/>
      <c r="W266" s="126"/>
      <c r="X266" s="126"/>
      <c r="Y266" s="126"/>
      <c r="Z266" s="126"/>
      <c r="AA266" s="126"/>
      <c r="AB266" s="126"/>
      <c r="AC266" s="126"/>
    </row>
    <row r="267" spans="1:63" x14ac:dyDescent="0.3">
      <c r="B267" s="17"/>
      <c r="C267" s="73"/>
      <c r="D267" s="7"/>
      <c r="E267" s="73"/>
      <c r="F267" s="8"/>
      <c r="G267" s="74">
        <f>$F243</f>
        <v>500</v>
      </c>
      <c r="H267" s="136">
        <f t="shared" si="31"/>
        <v>0</v>
      </c>
      <c r="I267" s="82"/>
      <c r="J267" s="8"/>
      <c r="K267" s="74">
        <f>$F243</f>
        <v>500</v>
      </c>
      <c r="L267" s="136">
        <f t="shared" si="32"/>
        <v>0</v>
      </c>
      <c r="M267" s="83"/>
      <c r="N267" s="137">
        <f t="shared" si="29"/>
        <v>0</v>
      </c>
      <c r="O267" s="79" t="str">
        <f t="shared" si="30"/>
        <v/>
      </c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  <c r="AB267" s="126"/>
      <c r="AC267" s="126"/>
    </row>
    <row r="268" spans="1:63" x14ac:dyDescent="0.3">
      <c r="B268" s="17"/>
      <c r="C268" s="73"/>
      <c r="D268" s="7"/>
      <c r="E268" s="73"/>
      <c r="F268" s="8"/>
      <c r="G268" s="74">
        <f>$F243</f>
        <v>500</v>
      </c>
      <c r="H268" s="136">
        <f t="shared" si="31"/>
        <v>0</v>
      </c>
      <c r="I268" s="82"/>
      <c r="J268" s="8"/>
      <c r="K268" s="74">
        <f>$F243</f>
        <v>500</v>
      </c>
      <c r="L268" s="136">
        <f t="shared" si="32"/>
        <v>0</v>
      </c>
      <c r="M268" s="83"/>
      <c r="N268" s="137">
        <f t="shared" si="29"/>
        <v>0</v>
      </c>
      <c r="O268" s="79" t="str">
        <f t="shared" si="30"/>
        <v/>
      </c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</row>
    <row r="269" spans="1:63" x14ac:dyDescent="0.3">
      <c r="B269" s="80" t="s">
        <v>35</v>
      </c>
      <c r="C269" s="73"/>
      <c r="D269" s="7" t="s">
        <v>67</v>
      </c>
      <c r="E269" s="73"/>
      <c r="F269" s="135">
        <v>6.3799999999999996E-2</v>
      </c>
      <c r="G269" s="74">
        <f>$F243</f>
        <v>500</v>
      </c>
      <c r="H269" s="136">
        <f t="shared" si="31"/>
        <v>31.9</v>
      </c>
      <c r="I269" s="76"/>
      <c r="J269" s="132">
        <v>0.1313</v>
      </c>
      <c r="K269" s="74">
        <f>$F243</f>
        <v>500</v>
      </c>
      <c r="L269" s="136">
        <f t="shared" si="32"/>
        <v>65.650000000000006</v>
      </c>
      <c r="M269" s="76"/>
      <c r="N269" s="137">
        <f t="shared" si="29"/>
        <v>33.750000000000007</v>
      </c>
      <c r="O269" s="79">
        <f t="shared" si="30"/>
        <v>1.0579937304075238</v>
      </c>
      <c r="Q269" s="126"/>
      <c r="R269" s="126"/>
      <c r="S269" s="126"/>
      <c r="T269" s="126"/>
      <c r="U269" s="126"/>
      <c r="V269" s="126"/>
      <c r="W269" s="126"/>
      <c r="X269" s="126"/>
      <c r="Y269" s="126"/>
      <c r="Z269" s="126"/>
      <c r="AA269" s="126"/>
      <c r="AB269" s="126"/>
      <c r="AC269" s="126"/>
    </row>
    <row r="270" spans="1:63" x14ac:dyDescent="0.3">
      <c r="B270" s="80" t="s">
        <v>36</v>
      </c>
      <c r="C270" s="73"/>
      <c r="D270" s="7" t="s">
        <v>27</v>
      </c>
      <c r="E270" s="73"/>
      <c r="F270" s="138">
        <f>IF(ISBLANK(D241)=TRUE, 0, IF(D241="TOU", 0.64*$F280+0.18*$F281+0.18*$F282, IF(AND(D241="non-TOU", G284&gt;0), F284,F283)))</f>
        <v>8.7999999999999995E-2</v>
      </c>
      <c r="G270" s="18">
        <f>$F244*(1+$F299)-$F244</f>
        <v>7540</v>
      </c>
      <c r="H270" s="136">
        <f t="shared" si="31"/>
        <v>663.52</v>
      </c>
      <c r="I270" s="76"/>
      <c r="J270" s="138">
        <f>+F270</f>
        <v>8.7999999999999995E-2</v>
      </c>
      <c r="K270" s="18">
        <f>$F244*(1+$J299)-$F244</f>
        <v>7520.0000000000291</v>
      </c>
      <c r="L270" s="136">
        <f t="shared" si="32"/>
        <v>661.76000000000249</v>
      </c>
      <c r="M270" s="76"/>
      <c r="N270" s="137">
        <f t="shared" si="29"/>
        <v>-1.7599999999974898</v>
      </c>
      <c r="O270" s="79">
        <f t="shared" si="30"/>
        <v>-2.6525198938954211E-3</v>
      </c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  <c r="AA270" s="126"/>
      <c r="AB270" s="126"/>
      <c r="AC270" s="126"/>
    </row>
    <row r="271" spans="1:63" x14ac:dyDescent="0.3">
      <c r="B271" s="80" t="s">
        <v>37</v>
      </c>
      <c r="C271" s="73"/>
      <c r="D271" s="7" t="s">
        <v>24</v>
      </c>
      <c r="E271" s="73"/>
      <c r="F271" s="138">
        <v>0</v>
      </c>
      <c r="G271" s="74">
        <v>1</v>
      </c>
      <c r="H271" s="136">
        <f t="shared" si="31"/>
        <v>0</v>
      </c>
      <c r="I271" s="76"/>
      <c r="J271" s="138"/>
      <c r="K271" s="81">
        <v>1</v>
      </c>
      <c r="L271" s="136">
        <f t="shared" si="32"/>
        <v>0</v>
      </c>
      <c r="M271" s="76"/>
      <c r="N271" s="137">
        <f t="shared" si="29"/>
        <v>0</v>
      </c>
      <c r="O271" s="79"/>
      <c r="Q271" s="126"/>
      <c r="R271" s="126"/>
      <c r="S271" s="126"/>
      <c r="T271" s="126"/>
      <c r="U271" s="126"/>
      <c r="V271" s="126"/>
      <c r="W271" s="126"/>
      <c r="X271" s="126"/>
      <c r="Y271" s="126"/>
      <c r="Z271" s="126"/>
      <c r="AA271" s="126"/>
      <c r="AB271" s="126"/>
      <c r="AC271" s="126"/>
    </row>
    <row r="272" spans="1:63" s="4" customFormat="1" x14ac:dyDescent="0.3">
      <c r="A272" s="60"/>
      <c r="B272" s="19" t="s">
        <v>38</v>
      </c>
      <c r="C272" s="20"/>
      <c r="D272" s="20"/>
      <c r="E272" s="20"/>
      <c r="F272" s="21"/>
      <c r="G272" s="22"/>
      <c r="H272" s="23">
        <f>SUM(H265:H271)+H264</f>
        <v>2804.2700000000004</v>
      </c>
      <c r="I272" s="13"/>
      <c r="J272" s="22"/>
      <c r="K272" s="24"/>
      <c r="L272" s="23">
        <f>SUM(L265:L271)+L264</f>
        <v>2886.260000000002</v>
      </c>
      <c r="M272" s="13"/>
      <c r="N272" s="15">
        <f t="shared" si="29"/>
        <v>81.990000000001601</v>
      </c>
      <c r="O272" s="16">
        <f t="shared" ref="O272:O284" si="33">IF((H272)=0,"",(N272/H272))</f>
        <v>2.9237555584876486E-2</v>
      </c>
      <c r="P272" s="60"/>
      <c r="Q272" s="126"/>
      <c r="R272" s="126"/>
      <c r="S272" s="126"/>
      <c r="T272" s="126"/>
      <c r="U272" s="126"/>
      <c r="V272" s="126"/>
      <c r="W272" s="126"/>
      <c r="X272" s="126"/>
      <c r="Y272" s="126"/>
      <c r="Z272" s="126"/>
      <c r="AA272" s="126"/>
      <c r="AB272" s="126"/>
      <c r="AC272" s="126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</row>
    <row r="273" spans="1:63" x14ac:dyDescent="0.3">
      <c r="B273" s="76" t="s">
        <v>39</v>
      </c>
      <c r="C273" s="76"/>
      <c r="D273" s="25" t="s">
        <v>67</v>
      </c>
      <c r="E273" s="76"/>
      <c r="F273" s="135">
        <v>2.7667000000000002</v>
      </c>
      <c r="G273" s="18">
        <f>F243*(1+F299)</f>
        <v>518.85</v>
      </c>
      <c r="H273" s="136">
        <f>G273*F273</f>
        <v>1435.5022950000002</v>
      </c>
      <c r="I273" s="76"/>
      <c r="J273" s="135">
        <f>+$J$48</f>
        <v>2.7441</v>
      </c>
      <c r="K273" s="18">
        <f>F243*(1+J299)</f>
        <v>518.80000000000007</v>
      </c>
      <c r="L273" s="136">
        <f>K273*J273</f>
        <v>1423.6390800000001</v>
      </c>
      <c r="M273" s="76"/>
      <c r="N273" s="136">
        <f t="shared" si="29"/>
        <v>-11.863215000000082</v>
      </c>
      <c r="O273" s="79">
        <f t="shared" si="33"/>
        <v>-8.2641560667097921E-3</v>
      </c>
      <c r="Q273" s="126"/>
      <c r="R273" s="126"/>
      <c r="S273" s="126"/>
      <c r="T273" s="126"/>
      <c r="U273" s="126"/>
      <c r="V273" s="126"/>
      <c r="W273" s="126"/>
      <c r="X273" s="126"/>
      <c r="Y273" s="126"/>
      <c r="Z273" s="126"/>
      <c r="AA273" s="126"/>
      <c r="AB273" s="126"/>
      <c r="AC273" s="126"/>
    </row>
    <row r="274" spans="1:63" x14ac:dyDescent="0.3">
      <c r="B274" s="85" t="s">
        <v>40</v>
      </c>
      <c r="C274" s="76"/>
      <c r="D274" s="25" t="s">
        <v>67</v>
      </c>
      <c r="E274" s="76"/>
      <c r="F274" s="135">
        <v>1.8766</v>
      </c>
      <c r="G274" s="18">
        <f>G273</f>
        <v>518.85</v>
      </c>
      <c r="H274" s="136">
        <f>G274*F274</f>
        <v>973.67391000000009</v>
      </c>
      <c r="I274" s="76"/>
      <c r="J274" s="135">
        <f>+$J$49</f>
        <v>1.8182</v>
      </c>
      <c r="K274" s="18">
        <f>K273</f>
        <v>518.80000000000007</v>
      </c>
      <c r="L274" s="136">
        <f>K274*J274</f>
        <v>943.28216000000009</v>
      </c>
      <c r="M274" s="76"/>
      <c r="N274" s="136">
        <f t="shared" si="29"/>
        <v>-30.391750000000002</v>
      </c>
      <c r="O274" s="79">
        <f t="shared" si="33"/>
        <v>-3.1213478853510616E-2</v>
      </c>
      <c r="Q274" s="126"/>
      <c r="R274" s="126"/>
      <c r="S274" s="126"/>
      <c r="T274" s="126"/>
      <c r="U274" s="126"/>
      <c r="V274" s="126"/>
      <c r="W274" s="126"/>
      <c r="X274" s="126"/>
      <c r="Y274" s="126"/>
      <c r="Z274" s="126"/>
      <c r="AA274" s="126"/>
      <c r="AB274" s="126"/>
      <c r="AC274" s="126"/>
    </row>
    <row r="275" spans="1:63" s="4" customFormat="1" x14ac:dyDescent="0.3">
      <c r="A275" s="60"/>
      <c r="B275" s="19" t="s">
        <v>41</v>
      </c>
      <c r="C275" s="20"/>
      <c r="D275" s="20"/>
      <c r="E275" s="20"/>
      <c r="F275" s="21"/>
      <c r="G275" s="22"/>
      <c r="H275" s="23">
        <f>SUM(H272:H274)</f>
        <v>5213.4462050000011</v>
      </c>
      <c r="I275" s="13"/>
      <c r="J275" s="26"/>
      <c r="K275" s="22"/>
      <c r="L275" s="23">
        <f>SUM(L272:L274)</f>
        <v>5253.1812400000017</v>
      </c>
      <c r="M275" s="13"/>
      <c r="N275" s="15">
        <f t="shared" si="29"/>
        <v>39.735035000000607</v>
      </c>
      <c r="O275" s="16">
        <f t="shared" si="33"/>
        <v>7.6216447696136917E-3</v>
      </c>
      <c r="P275" s="60"/>
      <c r="Q275" s="126"/>
      <c r="R275" s="126"/>
      <c r="S275" s="126"/>
      <c r="T275" s="126"/>
      <c r="U275" s="126"/>
      <c r="V275" s="126"/>
      <c r="W275" s="126"/>
      <c r="X275" s="126"/>
      <c r="Y275" s="126"/>
      <c r="Z275" s="126"/>
      <c r="AA275" s="126"/>
      <c r="AB275" s="126"/>
      <c r="AC275" s="126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/>
      <c r="BC275" s="60"/>
      <c r="BD275" s="60"/>
      <c r="BE275" s="60"/>
      <c r="BF275" s="60"/>
      <c r="BG275" s="60"/>
      <c r="BH275" s="60"/>
      <c r="BI275" s="60"/>
      <c r="BJ275" s="60"/>
      <c r="BK275" s="60"/>
    </row>
    <row r="276" spans="1:63" x14ac:dyDescent="0.3">
      <c r="B276" s="86" t="s">
        <v>42</v>
      </c>
      <c r="C276" s="73"/>
      <c r="D276" s="7" t="s">
        <v>27</v>
      </c>
      <c r="E276" s="73"/>
      <c r="F276" s="135">
        <v>4.4000000000000003E-3</v>
      </c>
      <c r="G276" s="18">
        <f>F244*(1+F299)</f>
        <v>207540</v>
      </c>
      <c r="H276" s="139">
        <f t="shared" ref="H276:H284" si="34">G276*F276</f>
        <v>913.17600000000004</v>
      </c>
      <c r="I276" s="76"/>
      <c r="J276" s="135">
        <f>+F276</f>
        <v>4.4000000000000003E-3</v>
      </c>
      <c r="K276" s="18">
        <f>F244*(1+J299)</f>
        <v>207520.00000000003</v>
      </c>
      <c r="L276" s="139">
        <f t="shared" ref="L276:L284" si="35">K276*J276</f>
        <v>913.08800000000019</v>
      </c>
      <c r="M276" s="76"/>
      <c r="N276" s="137">
        <f t="shared" si="29"/>
        <v>-8.7999999999851752E-2</v>
      </c>
      <c r="O276" s="87">
        <f t="shared" si="33"/>
        <v>-9.6366965404097069E-5</v>
      </c>
      <c r="Q276" s="126"/>
      <c r="R276" s="126"/>
      <c r="S276" s="126"/>
      <c r="T276" s="126"/>
      <c r="U276" s="126"/>
      <c r="V276" s="126"/>
      <c r="W276" s="126"/>
      <c r="X276" s="126"/>
      <c r="Y276" s="126"/>
      <c r="Z276" s="126"/>
      <c r="AA276" s="126"/>
      <c r="AB276" s="126"/>
      <c r="AC276" s="126"/>
    </row>
    <row r="277" spans="1:63" x14ac:dyDescent="0.3">
      <c r="B277" s="86" t="s">
        <v>43</v>
      </c>
      <c r="C277" s="73"/>
      <c r="D277" s="7" t="s">
        <v>27</v>
      </c>
      <c r="E277" s="73"/>
      <c r="F277" s="135">
        <v>1.1999999999999999E-3</v>
      </c>
      <c r="G277" s="18">
        <f>+G276</f>
        <v>207540</v>
      </c>
      <c r="H277" s="139">
        <f t="shared" si="34"/>
        <v>249.04799999999997</v>
      </c>
      <c r="I277" s="76"/>
      <c r="J277" s="135">
        <v>1.2999999999999999E-3</v>
      </c>
      <c r="K277" s="18">
        <f>+K276</f>
        <v>207520.00000000003</v>
      </c>
      <c r="L277" s="139">
        <f t="shared" si="35"/>
        <v>269.77600000000001</v>
      </c>
      <c r="M277" s="76"/>
      <c r="N277" s="137">
        <f t="shared" si="29"/>
        <v>20.728000000000037</v>
      </c>
      <c r="O277" s="87">
        <f t="shared" si="33"/>
        <v>8.3228935787478878E-2</v>
      </c>
      <c r="Q277" s="126"/>
      <c r="R277" s="126"/>
      <c r="S277" s="126"/>
      <c r="T277" s="126"/>
      <c r="U277" s="126"/>
      <c r="V277" s="126"/>
      <c r="W277" s="126"/>
      <c r="X277" s="126"/>
      <c r="Y277" s="126"/>
      <c r="Z277" s="126"/>
      <c r="AA277" s="126"/>
      <c r="AB277" s="126"/>
      <c r="AC277" s="126"/>
    </row>
    <row r="278" spans="1:63" x14ac:dyDescent="0.3">
      <c r="B278" s="73" t="s">
        <v>44</v>
      </c>
      <c r="C278" s="73"/>
      <c r="D278" s="7" t="s">
        <v>24</v>
      </c>
      <c r="E278" s="73"/>
      <c r="F278" s="135">
        <v>0.25</v>
      </c>
      <c r="G278" s="81">
        <v>1</v>
      </c>
      <c r="H278" s="139">
        <f t="shared" si="34"/>
        <v>0.25</v>
      </c>
      <c r="I278" s="76"/>
      <c r="J278" s="135">
        <f>+F278</f>
        <v>0.25</v>
      </c>
      <c r="K278" s="77">
        <v>1</v>
      </c>
      <c r="L278" s="139">
        <f t="shared" si="35"/>
        <v>0.25</v>
      </c>
      <c r="M278" s="76"/>
      <c r="N278" s="137">
        <f t="shared" si="29"/>
        <v>0</v>
      </c>
      <c r="O278" s="87">
        <f t="shared" si="33"/>
        <v>0</v>
      </c>
      <c r="Q278" s="126"/>
      <c r="R278" s="126"/>
      <c r="S278" s="126"/>
      <c r="T278" s="126"/>
      <c r="U278" s="126"/>
      <c r="V278" s="126"/>
      <c r="W278" s="126"/>
      <c r="X278" s="126"/>
      <c r="Y278" s="126"/>
      <c r="Z278" s="126"/>
      <c r="AA278" s="126"/>
      <c r="AB278" s="126"/>
      <c r="AC278" s="126"/>
    </row>
    <row r="279" spans="1:63" x14ac:dyDescent="0.3">
      <c r="B279" s="73" t="s">
        <v>45</v>
      </c>
      <c r="C279" s="73"/>
      <c r="D279" s="7" t="s">
        <v>27</v>
      </c>
      <c r="E279" s="73"/>
      <c r="F279" s="135">
        <v>7.0000000000000001E-3</v>
      </c>
      <c r="G279" s="84">
        <f>F244</f>
        <v>200000</v>
      </c>
      <c r="H279" s="139">
        <f t="shared" si="34"/>
        <v>1400</v>
      </c>
      <c r="I279" s="76"/>
      <c r="J279" s="135">
        <f>+F279</f>
        <v>7.0000000000000001E-3</v>
      </c>
      <c r="K279" s="77">
        <f>F244</f>
        <v>200000</v>
      </c>
      <c r="L279" s="139">
        <f t="shared" si="35"/>
        <v>1400</v>
      </c>
      <c r="M279" s="76"/>
      <c r="N279" s="137">
        <f t="shared" si="29"/>
        <v>0</v>
      </c>
      <c r="O279" s="87">
        <f t="shared" si="33"/>
        <v>0</v>
      </c>
      <c r="Q279" s="126"/>
      <c r="R279" s="126"/>
      <c r="S279" s="126"/>
      <c r="T279" s="126"/>
      <c r="U279" s="126"/>
      <c r="V279" s="126"/>
      <c r="W279" s="126"/>
      <c r="X279" s="126"/>
      <c r="Y279" s="126"/>
      <c r="Z279" s="126"/>
      <c r="AA279" s="126"/>
      <c r="AB279" s="126"/>
      <c r="AC279" s="126"/>
    </row>
    <row r="280" spans="1:63" x14ac:dyDescent="0.3">
      <c r="B280" s="80" t="s">
        <v>46</v>
      </c>
      <c r="C280" s="73"/>
      <c r="D280" s="7" t="s">
        <v>27</v>
      </c>
      <c r="E280" s="73"/>
      <c r="F280" s="138">
        <v>6.7000000000000004E-2</v>
      </c>
      <c r="G280" s="27">
        <f>0.64*$F244</f>
        <v>128000</v>
      </c>
      <c r="H280" s="139">
        <f t="shared" si="34"/>
        <v>8576</v>
      </c>
      <c r="I280" s="76"/>
      <c r="J280" s="138">
        <v>6.7000000000000004E-2</v>
      </c>
      <c r="K280" s="28">
        <f>G280</f>
        <v>128000</v>
      </c>
      <c r="L280" s="139">
        <f t="shared" si="35"/>
        <v>8576</v>
      </c>
      <c r="M280" s="76"/>
      <c r="N280" s="137">
        <f t="shared" si="29"/>
        <v>0</v>
      </c>
      <c r="O280" s="87">
        <f t="shared" si="33"/>
        <v>0</v>
      </c>
      <c r="Q280" s="126"/>
      <c r="R280" s="126"/>
      <c r="S280" s="127"/>
      <c r="T280" s="126"/>
      <c r="U280" s="126"/>
      <c r="V280" s="126"/>
      <c r="W280" s="126"/>
      <c r="X280" s="126"/>
      <c r="Y280" s="126"/>
      <c r="Z280" s="126"/>
      <c r="AA280" s="126"/>
      <c r="AB280" s="126"/>
      <c r="AC280" s="126"/>
    </row>
    <row r="281" spans="1:63" x14ac:dyDescent="0.3">
      <c r="B281" s="80" t="s">
        <v>47</v>
      </c>
      <c r="C281" s="73"/>
      <c r="D281" s="7" t="s">
        <v>27</v>
      </c>
      <c r="E281" s="73"/>
      <c r="F281" s="138">
        <v>0.104</v>
      </c>
      <c r="G281" s="27">
        <f>0.18*$F244</f>
        <v>36000</v>
      </c>
      <c r="H281" s="139">
        <f t="shared" si="34"/>
        <v>3744</v>
      </c>
      <c r="I281" s="76"/>
      <c r="J281" s="138">
        <v>0.104</v>
      </c>
      <c r="K281" s="28">
        <f>G281</f>
        <v>36000</v>
      </c>
      <c r="L281" s="139">
        <f t="shared" si="35"/>
        <v>3744</v>
      </c>
      <c r="M281" s="76"/>
      <c r="N281" s="137">
        <f t="shared" si="29"/>
        <v>0</v>
      </c>
      <c r="O281" s="87">
        <f t="shared" si="33"/>
        <v>0</v>
      </c>
      <c r="Q281" s="126"/>
      <c r="R281" s="126"/>
      <c r="S281" s="127"/>
      <c r="T281" s="126"/>
      <c r="U281" s="126"/>
      <c r="V281" s="126"/>
      <c r="W281" s="126"/>
      <c r="X281" s="126"/>
      <c r="Y281" s="126"/>
      <c r="Z281" s="126"/>
      <c r="AA281" s="126"/>
      <c r="AB281" s="126"/>
      <c r="AC281" s="126"/>
    </row>
    <row r="282" spans="1:63" x14ac:dyDescent="0.3">
      <c r="B282" s="64" t="s">
        <v>48</v>
      </c>
      <c r="C282" s="73"/>
      <c r="D282" s="7" t="s">
        <v>27</v>
      </c>
      <c r="E282" s="73"/>
      <c r="F282" s="138">
        <v>0.124</v>
      </c>
      <c r="G282" s="27">
        <f>0.18*$F244</f>
        <v>36000</v>
      </c>
      <c r="H282" s="139">
        <f t="shared" si="34"/>
        <v>4464</v>
      </c>
      <c r="I282" s="76"/>
      <c r="J282" s="138">
        <v>0.124</v>
      </c>
      <c r="K282" s="28">
        <f>G282</f>
        <v>36000</v>
      </c>
      <c r="L282" s="139">
        <f t="shared" si="35"/>
        <v>4464</v>
      </c>
      <c r="M282" s="76"/>
      <c r="N282" s="137">
        <f t="shared" si="29"/>
        <v>0</v>
      </c>
      <c r="O282" s="87">
        <f t="shared" si="33"/>
        <v>0</v>
      </c>
      <c r="Q282" s="126"/>
      <c r="R282" s="126"/>
      <c r="S282" s="127"/>
      <c r="T282" s="126"/>
      <c r="U282" s="126"/>
      <c r="V282" s="126"/>
      <c r="W282" s="126"/>
      <c r="X282" s="126"/>
      <c r="Y282" s="126"/>
      <c r="Z282" s="126"/>
      <c r="AA282" s="126"/>
      <c r="AB282" s="126"/>
      <c r="AC282" s="126"/>
    </row>
    <row r="283" spans="1:63" s="92" customFormat="1" x14ac:dyDescent="0.25">
      <c r="B283" s="89" t="s">
        <v>49</v>
      </c>
      <c r="C283" s="90"/>
      <c r="D283" s="29" t="s">
        <v>27</v>
      </c>
      <c r="E283" s="90"/>
      <c r="F283" s="138">
        <v>7.4999999999999997E-2</v>
      </c>
      <c r="G283" s="30">
        <f>IF(AND($T$1=1, F244&gt;=750), 750, IF(AND($T$1=1, AND(F244&lt;750, F244&gt;=0)), F244, IF(AND($T$1=2, F244&gt;=750), 750, IF(AND($T$1=2, AND(F244&lt;750, F244&gt;=0)), F244))))</f>
        <v>750</v>
      </c>
      <c r="H283" s="139">
        <f t="shared" si="34"/>
        <v>56.25</v>
      </c>
      <c r="I283" s="91"/>
      <c r="J283" s="138">
        <v>7.4999999999999997E-2</v>
      </c>
      <c r="K283" s="31">
        <f>G283</f>
        <v>750</v>
      </c>
      <c r="L283" s="139">
        <f t="shared" si="35"/>
        <v>56.25</v>
      </c>
      <c r="M283" s="91"/>
      <c r="N283" s="140">
        <f t="shared" si="29"/>
        <v>0</v>
      </c>
      <c r="O283" s="87">
        <f t="shared" si="33"/>
        <v>0</v>
      </c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  <c r="AA283" s="128"/>
      <c r="AB283" s="128"/>
      <c r="AC283" s="128"/>
    </row>
    <row r="284" spans="1:63" s="92" customFormat="1" ht="15" thickBot="1" x14ac:dyDescent="0.3">
      <c r="B284" s="89" t="s">
        <v>50</v>
      </c>
      <c r="C284" s="90"/>
      <c r="D284" s="29" t="s">
        <v>27</v>
      </c>
      <c r="E284" s="90"/>
      <c r="F284" s="138">
        <v>8.7999999999999995E-2</v>
      </c>
      <c r="G284" s="30">
        <f>IF(AND($T$1=1, F244&gt;=750), F244-750, IF(AND($T$1=1, AND(F244&lt;750, F244&gt;=0)), 0, IF(AND($T$1=2, F244&gt;=750), F244-750, IF(AND($T$1=2, AND(F244&lt;750, F244&gt;=0)), 0))))</f>
        <v>199250</v>
      </c>
      <c r="H284" s="139">
        <f t="shared" si="34"/>
        <v>17534</v>
      </c>
      <c r="I284" s="91"/>
      <c r="J284" s="138">
        <v>8.7999999999999995E-2</v>
      </c>
      <c r="K284" s="31">
        <f>G284</f>
        <v>199250</v>
      </c>
      <c r="L284" s="139">
        <f t="shared" si="35"/>
        <v>17534</v>
      </c>
      <c r="M284" s="91"/>
      <c r="N284" s="140">
        <f t="shared" si="29"/>
        <v>0</v>
      </c>
      <c r="O284" s="87">
        <f t="shared" si="33"/>
        <v>0</v>
      </c>
      <c r="Q284" s="128"/>
      <c r="R284" s="128"/>
      <c r="S284" s="128"/>
      <c r="T284" s="128"/>
      <c r="U284" s="128"/>
      <c r="V284" s="128"/>
      <c r="W284" s="128"/>
      <c r="X284" s="128"/>
      <c r="Y284" s="128"/>
      <c r="Z284" s="128"/>
      <c r="AA284" s="128"/>
      <c r="AB284" s="128"/>
      <c r="AC284" s="128"/>
    </row>
    <row r="285" spans="1:63" s="4" customFormat="1" ht="15" thickBot="1" x14ac:dyDescent="0.35">
      <c r="A285" s="60"/>
      <c r="B285" s="32"/>
      <c r="C285" s="33"/>
      <c r="D285" s="124"/>
      <c r="E285" s="33"/>
      <c r="F285" s="35"/>
      <c r="G285" s="36"/>
      <c r="H285" s="122"/>
      <c r="I285" s="123"/>
      <c r="J285" s="35"/>
      <c r="K285" s="39"/>
      <c r="L285" s="122"/>
      <c r="M285" s="123"/>
      <c r="N285" s="40"/>
      <c r="O285" s="41"/>
      <c r="P285" s="60"/>
      <c r="Q285" s="126"/>
      <c r="R285" s="126"/>
      <c r="S285" s="126"/>
      <c r="T285" s="126"/>
      <c r="U285" s="126"/>
      <c r="V285" s="126"/>
      <c r="W285" s="126"/>
      <c r="X285" s="126"/>
      <c r="Y285" s="126"/>
      <c r="Z285" s="126"/>
      <c r="AA285" s="126"/>
      <c r="AB285" s="126"/>
      <c r="AC285" s="126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/>
      <c r="BC285" s="60"/>
      <c r="BD285" s="60"/>
      <c r="BE285" s="60"/>
      <c r="BF285" s="60"/>
      <c r="BG285" s="60"/>
      <c r="BH285" s="60"/>
      <c r="BI285" s="60"/>
      <c r="BJ285" s="60"/>
      <c r="BK285" s="60"/>
    </row>
    <row r="286" spans="1:63" x14ac:dyDescent="0.3">
      <c r="B286" s="93" t="s">
        <v>51</v>
      </c>
      <c r="C286" s="73"/>
      <c r="D286" s="73"/>
      <c r="E286" s="73"/>
      <c r="F286" s="94"/>
      <c r="G286" s="95"/>
      <c r="H286" s="141">
        <f>SUM(H276:H282,H275)</f>
        <v>24559.920205000002</v>
      </c>
      <c r="I286" s="96"/>
      <c r="J286" s="97"/>
      <c r="K286" s="97"/>
      <c r="L286" s="144">
        <f>SUM(L276:L282,L275)</f>
        <v>24620.295240000003</v>
      </c>
      <c r="M286" s="145"/>
      <c r="N286" s="146">
        <f>L286-H286</f>
        <v>60.375035000000935</v>
      </c>
      <c r="O286" s="98">
        <f>IF((H286)=0,"",(N286/H286))</f>
        <v>2.458274884285233E-3</v>
      </c>
      <c r="Q286" s="126"/>
      <c r="R286" s="126"/>
      <c r="S286" s="127"/>
      <c r="T286" s="126"/>
      <c r="U286" s="126"/>
      <c r="V286" s="126"/>
      <c r="W286" s="126"/>
      <c r="X286" s="126"/>
      <c r="Y286" s="126"/>
      <c r="Z286" s="126"/>
      <c r="AA286" s="126"/>
      <c r="AB286" s="126"/>
      <c r="AC286" s="126"/>
    </row>
    <row r="287" spans="1:63" x14ac:dyDescent="0.3">
      <c r="B287" s="99" t="s">
        <v>52</v>
      </c>
      <c r="C287" s="73"/>
      <c r="D287" s="73"/>
      <c r="E287" s="73"/>
      <c r="F287" s="100">
        <v>0.13</v>
      </c>
      <c r="G287" s="101"/>
      <c r="H287" s="142">
        <f>H286*F287</f>
        <v>3192.7896266500002</v>
      </c>
      <c r="I287" s="102"/>
      <c r="J287" s="103">
        <v>0.13</v>
      </c>
      <c r="K287" s="102"/>
      <c r="L287" s="147">
        <f>L286*J287</f>
        <v>3200.6383812000004</v>
      </c>
      <c r="M287" s="148"/>
      <c r="N287" s="149">
        <f>L287-H287</f>
        <v>7.8487545500001943</v>
      </c>
      <c r="O287" s="104">
        <f>IF((H287)=0,"",(N287/H287))</f>
        <v>2.458274884285256E-3</v>
      </c>
      <c r="Q287" s="126"/>
      <c r="R287" s="126"/>
      <c r="S287" s="127"/>
      <c r="T287" s="126"/>
      <c r="U287" s="126"/>
      <c r="V287" s="126"/>
      <c r="W287" s="126"/>
      <c r="X287" s="126"/>
      <c r="Y287" s="126"/>
      <c r="Z287" s="126"/>
      <c r="AA287" s="126"/>
      <c r="AB287" s="126"/>
      <c r="AC287" s="126"/>
    </row>
    <row r="288" spans="1:63" x14ac:dyDescent="0.3">
      <c r="B288" s="105" t="s">
        <v>53</v>
      </c>
      <c r="C288" s="73"/>
      <c r="D288" s="73"/>
      <c r="E288" s="73"/>
      <c r="F288" s="106"/>
      <c r="G288" s="101"/>
      <c r="H288" s="142">
        <f>H286+H287</f>
        <v>27752.709831650001</v>
      </c>
      <c r="I288" s="102"/>
      <c r="J288" s="102"/>
      <c r="K288" s="102"/>
      <c r="L288" s="147">
        <f>L286+L287</f>
        <v>27820.933621200005</v>
      </c>
      <c r="M288" s="148"/>
      <c r="N288" s="149">
        <f>L288-H288</f>
        <v>68.223789550003858</v>
      </c>
      <c r="O288" s="104">
        <f>IF((H288)=0,"",(N288/H288))</f>
        <v>2.4582748842853341E-3</v>
      </c>
      <c r="Q288" s="126"/>
      <c r="R288" s="126"/>
      <c r="S288" s="127"/>
      <c r="T288" s="126"/>
      <c r="U288" s="126"/>
      <c r="V288" s="126"/>
      <c r="W288" s="126"/>
      <c r="X288" s="126"/>
      <c r="Y288" s="126"/>
      <c r="Z288" s="126"/>
      <c r="AA288" s="126"/>
      <c r="AB288" s="126"/>
      <c r="AC288" s="126"/>
    </row>
    <row r="289" spans="1:63" ht="14.4" customHeight="1" x14ac:dyDescent="0.3">
      <c r="B289" s="172" t="s">
        <v>54</v>
      </c>
      <c r="C289" s="172"/>
      <c r="D289" s="172"/>
      <c r="E289" s="73"/>
      <c r="F289" s="106"/>
      <c r="G289" s="101"/>
      <c r="H289" s="143">
        <v>0</v>
      </c>
      <c r="I289" s="102"/>
      <c r="J289" s="102"/>
      <c r="K289" s="102"/>
      <c r="L289" s="150">
        <v>0</v>
      </c>
      <c r="M289" s="148"/>
      <c r="N289" s="151">
        <f>L289-H289</f>
        <v>0</v>
      </c>
      <c r="O289" s="107" t="str">
        <f>IF((H289)=0,"",(N289/H289))</f>
        <v/>
      </c>
      <c r="Q289" s="126"/>
      <c r="R289" s="126"/>
      <c r="S289" s="126"/>
      <c r="T289" s="126"/>
      <c r="U289" s="126"/>
      <c r="V289" s="126"/>
      <c r="W289" s="126"/>
      <c r="X289" s="126"/>
      <c r="Y289" s="126"/>
      <c r="Z289" s="126"/>
      <c r="AA289" s="126"/>
      <c r="AB289" s="126"/>
      <c r="AC289" s="126"/>
    </row>
    <row r="290" spans="1:63" s="4" customFormat="1" ht="15" thickBot="1" x14ac:dyDescent="0.35">
      <c r="A290" s="60"/>
      <c r="B290" s="173" t="s">
        <v>55</v>
      </c>
      <c r="C290" s="173"/>
      <c r="D290" s="173"/>
      <c r="E290" s="42"/>
      <c r="F290" s="43"/>
      <c r="G290" s="44"/>
      <c r="H290" s="45">
        <f>H288+H289</f>
        <v>27752.709831650001</v>
      </c>
      <c r="I290" s="46"/>
      <c r="J290" s="46"/>
      <c r="K290" s="46"/>
      <c r="L290" s="47">
        <f>L288+L289</f>
        <v>27820.933621200005</v>
      </c>
      <c r="M290" s="48"/>
      <c r="N290" s="49">
        <f>L290-H290</f>
        <v>68.223789550003858</v>
      </c>
      <c r="O290" s="50">
        <f>IF((H290)=0,"",(N290/H290))</f>
        <v>2.4582748842853341E-3</v>
      </c>
      <c r="P290" s="60"/>
      <c r="Q290" s="126"/>
      <c r="R290" s="126"/>
      <c r="S290" s="126"/>
      <c r="T290" s="126"/>
      <c r="U290" s="126"/>
      <c r="V290" s="126"/>
      <c r="W290" s="126"/>
      <c r="X290" s="126"/>
      <c r="Y290" s="126"/>
      <c r="Z290" s="126"/>
      <c r="AA290" s="126"/>
      <c r="AB290" s="126"/>
      <c r="AC290" s="126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</row>
    <row r="291" spans="1:63" s="4" customFormat="1" ht="15" thickBot="1" x14ac:dyDescent="0.35">
      <c r="A291" s="60"/>
      <c r="B291" s="32"/>
      <c r="C291" s="33"/>
      <c r="D291" s="34"/>
      <c r="E291" s="33"/>
      <c r="F291" s="35"/>
      <c r="G291" s="36"/>
      <c r="H291" s="37"/>
      <c r="I291" s="38"/>
      <c r="J291" s="35"/>
      <c r="K291" s="39"/>
      <c r="L291" s="37"/>
      <c r="M291" s="123"/>
      <c r="N291" s="40"/>
      <c r="O291" s="41"/>
      <c r="P291" s="60"/>
      <c r="Q291" s="126"/>
      <c r="R291" s="126"/>
      <c r="S291" s="126"/>
      <c r="T291" s="126"/>
      <c r="U291" s="126"/>
      <c r="V291" s="126"/>
      <c r="W291" s="126"/>
      <c r="X291" s="126"/>
      <c r="Y291" s="126"/>
      <c r="Z291" s="126"/>
      <c r="AA291" s="126"/>
      <c r="AB291" s="126"/>
      <c r="AC291" s="126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  <c r="AU291" s="60"/>
      <c r="AV291" s="60"/>
      <c r="AW291" s="60"/>
      <c r="AX291" s="60"/>
      <c r="AY291" s="60"/>
      <c r="AZ291" s="60"/>
      <c r="BA291" s="60"/>
      <c r="BB291" s="60"/>
      <c r="BC291" s="60"/>
      <c r="BD291" s="60"/>
      <c r="BE291" s="60"/>
      <c r="BF291" s="60"/>
      <c r="BG291" s="60"/>
      <c r="BH291" s="60"/>
      <c r="BI291" s="60"/>
      <c r="BJ291" s="60"/>
      <c r="BK291" s="60"/>
    </row>
    <row r="292" spans="1:63" s="92" customFormat="1" ht="13.2" x14ac:dyDescent="0.25">
      <c r="B292" s="108" t="s">
        <v>56</v>
      </c>
      <c r="C292" s="90"/>
      <c r="D292" s="90"/>
      <c r="E292" s="90"/>
      <c r="F292" s="109"/>
      <c r="G292" s="110"/>
      <c r="H292" s="152">
        <f>SUM(H283:H284,H275,H276:H279)</f>
        <v>25366.170204999999</v>
      </c>
      <c r="I292" s="111"/>
      <c r="J292" s="112"/>
      <c r="K292" s="112"/>
      <c r="L292" s="155">
        <f>SUM(L283:L284,L275,L276:L279)</f>
        <v>25426.545240000003</v>
      </c>
      <c r="M292" s="156"/>
      <c r="N292" s="157">
        <f>L292-H292</f>
        <v>60.375035000004573</v>
      </c>
      <c r="O292" s="98">
        <f>IF((H292)=0,"",(N292/H292))</f>
        <v>2.3801399467115411E-3</v>
      </c>
      <c r="Q292" s="128"/>
      <c r="R292" s="128"/>
      <c r="S292" s="128"/>
      <c r="T292" s="128"/>
      <c r="U292" s="128"/>
      <c r="V292" s="128"/>
      <c r="W292" s="128"/>
      <c r="X292" s="128"/>
      <c r="Y292" s="128"/>
      <c r="Z292" s="128"/>
      <c r="AA292" s="128"/>
      <c r="AB292" s="128"/>
      <c r="AC292" s="128"/>
    </row>
    <row r="293" spans="1:63" s="92" customFormat="1" ht="13.2" x14ac:dyDescent="0.25">
      <c r="B293" s="113" t="s">
        <v>52</v>
      </c>
      <c r="C293" s="90"/>
      <c r="D293" s="90"/>
      <c r="E293" s="90"/>
      <c r="F293" s="114">
        <v>0.13</v>
      </c>
      <c r="G293" s="110"/>
      <c r="H293" s="153">
        <f>H292*F293</f>
        <v>3297.6021266499997</v>
      </c>
      <c r="I293" s="115"/>
      <c r="J293" s="116">
        <v>0.13</v>
      </c>
      <c r="K293" s="117"/>
      <c r="L293" s="158">
        <f>L292*J293</f>
        <v>3305.4508812000004</v>
      </c>
      <c r="M293" s="159"/>
      <c r="N293" s="160">
        <f>L293-H293</f>
        <v>7.848754550000649</v>
      </c>
      <c r="O293" s="104">
        <f>IF((H293)=0,"",(N293/H293))</f>
        <v>2.3801399467115575E-3</v>
      </c>
      <c r="Q293" s="128"/>
      <c r="R293" s="128"/>
      <c r="S293" s="128"/>
      <c r="T293" s="128"/>
      <c r="U293" s="128"/>
      <c r="V293" s="128"/>
      <c r="W293" s="128"/>
      <c r="X293" s="128"/>
      <c r="Y293" s="128"/>
      <c r="Z293" s="128"/>
      <c r="AA293" s="128"/>
      <c r="AB293" s="128"/>
      <c r="AC293" s="128"/>
    </row>
    <row r="294" spans="1:63" s="92" customFormat="1" ht="13.2" x14ac:dyDescent="0.25">
      <c r="B294" s="118" t="s">
        <v>53</v>
      </c>
      <c r="C294" s="90"/>
      <c r="D294" s="90"/>
      <c r="E294" s="90"/>
      <c r="F294" s="119"/>
      <c r="G294" s="120"/>
      <c r="H294" s="153">
        <f>H292+H293</f>
        <v>28663.772331649998</v>
      </c>
      <c r="I294" s="115"/>
      <c r="J294" s="115"/>
      <c r="K294" s="115"/>
      <c r="L294" s="158">
        <f>L292+L293</f>
        <v>28731.996121200005</v>
      </c>
      <c r="M294" s="159"/>
      <c r="N294" s="160">
        <f>L294-H294</f>
        <v>68.223789550007496</v>
      </c>
      <c r="O294" s="104">
        <f>IF((H294)=0,"",(N294/H294))</f>
        <v>2.3801399467116222E-3</v>
      </c>
      <c r="Q294" s="128"/>
      <c r="R294" s="128"/>
      <c r="S294" s="128"/>
      <c r="T294" s="128"/>
      <c r="U294" s="128"/>
      <c r="V294" s="128"/>
      <c r="W294" s="128"/>
      <c r="X294" s="128"/>
      <c r="Y294" s="128"/>
      <c r="Z294" s="128"/>
      <c r="AA294" s="128"/>
      <c r="AB294" s="128"/>
      <c r="AC294" s="128"/>
    </row>
    <row r="295" spans="1:63" s="92" customFormat="1" ht="13.2" customHeight="1" x14ac:dyDescent="0.25">
      <c r="B295" s="174" t="s">
        <v>54</v>
      </c>
      <c r="C295" s="174"/>
      <c r="D295" s="174"/>
      <c r="E295" s="90"/>
      <c r="F295" s="119"/>
      <c r="G295" s="120"/>
      <c r="H295" s="154">
        <v>0</v>
      </c>
      <c r="I295" s="115"/>
      <c r="J295" s="115"/>
      <c r="K295" s="115"/>
      <c r="L295" s="161">
        <v>0</v>
      </c>
      <c r="M295" s="159"/>
      <c r="N295" s="162">
        <f>L295-H295</f>
        <v>0</v>
      </c>
      <c r="O295" s="107" t="str">
        <f>IF((H295)=0,"",(N295/H295))</f>
        <v/>
      </c>
      <c r="Q295" s="128"/>
      <c r="R295" s="128"/>
      <c r="S295" s="128"/>
      <c r="T295" s="128"/>
      <c r="U295" s="128"/>
      <c r="V295" s="128"/>
      <c r="W295" s="128"/>
      <c r="X295" s="128"/>
      <c r="Y295" s="128"/>
      <c r="Z295" s="128"/>
      <c r="AA295" s="128"/>
      <c r="AB295" s="128"/>
      <c r="AC295" s="128"/>
    </row>
    <row r="296" spans="1:63" s="4" customFormat="1" ht="15" thickBot="1" x14ac:dyDescent="0.35">
      <c r="A296" s="60"/>
      <c r="B296" s="173" t="s">
        <v>57</v>
      </c>
      <c r="C296" s="173"/>
      <c r="D296" s="173"/>
      <c r="E296" s="42"/>
      <c r="F296" s="43"/>
      <c r="G296" s="44"/>
      <c r="H296" s="45">
        <f>SUM(H294:H295)</f>
        <v>28663.772331649998</v>
      </c>
      <c r="I296" s="46"/>
      <c r="J296" s="46"/>
      <c r="K296" s="46"/>
      <c r="L296" s="47">
        <f>SUM(L294:L295)</f>
        <v>28731.996121200005</v>
      </c>
      <c r="M296" s="48"/>
      <c r="N296" s="49">
        <f>L296-H296</f>
        <v>68.223789550007496</v>
      </c>
      <c r="O296" s="50">
        <f>IF((H296)=0,"",(N296/H296))</f>
        <v>2.3801399467116222E-3</v>
      </c>
      <c r="P296" s="60"/>
      <c r="Q296" s="126"/>
      <c r="R296" s="126"/>
      <c r="S296" s="126"/>
      <c r="T296" s="126"/>
      <c r="U296" s="126"/>
      <c r="V296" s="126"/>
      <c r="W296" s="126"/>
      <c r="X296" s="126"/>
      <c r="Y296" s="126"/>
      <c r="Z296" s="126"/>
      <c r="AA296" s="126"/>
      <c r="AB296" s="126"/>
      <c r="AC296" s="126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</row>
    <row r="297" spans="1:63" s="4" customFormat="1" ht="15" thickBot="1" x14ac:dyDescent="0.35">
      <c r="A297" s="60"/>
      <c r="B297" s="32"/>
      <c r="C297" s="33"/>
      <c r="D297" s="34"/>
      <c r="E297" s="33"/>
      <c r="F297" s="35"/>
      <c r="G297" s="36"/>
      <c r="H297" s="122"/>
      <c r="I297" s="123"/>
      <c r="J297" s="35"/>
      <c r="K297" s="39"/>
      <c r="L297" s="37"/>
      <c r="M297" s="123"/>
      <c r="N297" s="40"/>
      <c r="O297" s="41"/>
      <c r="P297" s="60"/>
      <c r="Q297" s="126"/>
      <c r="R297" s="126"/>
      <c r="S297" s="126"/>
      <c r="T297" s="126"/>
      <c r="U297" s="126"/>
      <c r="V297" s="126"/>
      <c r="W297" s="126"/>
      <c r="X297" s="126"/>
      <c r="Y297" s="126"/>
      <c r="Z297" s="126"/>
      <c r="AA297" s="126"/>
      <c r="AB297" s="126"/>
      <c r="AC297" s="126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/>
      <c r="BB297" s="60"/>
      <c r="BC297" s="60"/>
      <c r="BD297" s="60"/>
      <c r="BE297" s="60"/>
      <c r="BF297" s="60"/>
      <c r="BG297" s="60"/>
      <c r="BH297" s="60"/>
      <c r="BI297" s="60"/>
      <c r="BJ297" s="60"/>
      <c r="BK297" s="60"/>
    </row>
    <row r="298" spans="1:63" x14ac:dyDescent="0.3">
      <c r="L298" s="88"/>
    </row>
    <row r="299" spans="1:63" x14ac:dyDescent="0.3">
      <c r="B299" s="65" t="s">
        <v>58</v>
      </c>
      <c r="F299" s="51">
        <v>3.7699999999999997E-2</v>
      </c>
      <c r="J299" s="51">
        <f>+Residential!$J$74</f>
        <v>3.7600000000000001E-2</v>
      </c>
    </row>
    <row r="301" spans="1:63" x14ac:dyDescent="0.3">
      <c r="L301" s="56"/>
      <c r="M301" s="56"/>
      <c r="N301" s="56"/>
      <c r="O301" s="56"/>
      <c r="P301" s="56"/>
    </row>
    <row r="302" spans="1:63" ht="16.2" x14ac:dyDescent="0.3">
      <c r="A302" s="121" t="s">
        <v>59</v>
      </c>
    </row>
    <row r="304" spans="1:63" x14ac:dyDescent="0.3">
      <c r="A304" s="60" t="s">
        <v>60</v>
      </c>
    </row>
    <row r="305" spans="1:2" x14ac:dyDescent="0.3">
      <c r="A305" s="60" t="s">
        <v>61</v>
      </c>
    </row>
    <row r="307" spans="1:2" x14ac:dyDescent="0.3">
      <c r="B307" s="60" t="s">
        <v>62</v>
      </c>
    </row>
  </sheetData>
  <mergeCells count="53">
    <mergeCell ref="B289:D289"/>
    <mergeCell ref="B290:D290"/>
    <mergeCell ref="B295:D295"/>
    <mergeCell ref="B296:D296"/>
    <mergeCell ref="F245:H245"/>
    <mergeCell ref="J245:L245"/>
    <mergeCell ref="N245:O245"/>
    <mergeCell ref="D246:D247"/>
    <mergeCell ref="N246:N247"/>
    <mergeCell ref="O246:O247"/>
    <mergeCell ref="B220:D220"/>
    <mergeCell ref="B221:D221"/>
    <mergeCell ref="B235:O235"/>
    <mergeCell ref="B236:O236"/>
    <mergeCell ref="D239:O239"/>
    <mergeCell ref="D96:D97"/>
    <mergeCell ref="N96:N97"/>
    <mergeCell ref="O96:O97"/>
    <mergeCell ref="B140:D140"/>
    <mergeCell ref="B139:D139"/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  <mergeCell ref="B85:O85"/>
    <mergeCell ref="D89:O89"/>
    <mergeCell ref="F95:H95"/>
    <mergeCell ref="J95:L95"/>
    <mergeCell ref="N95:O95"/>
    <mergeCell ref="B86:O86"/>
    <mergeCell ref="B145:D145"/>
    <mergeCell ref="B160:O160"/>
    <mergeCell ref="B161:O161"/>
    <mergeCell ref="D164:O164"/>
    <mergeCell ref="F170:H170"/>
    <mergeCell ref="J170:L170"/>
    <mergeCell ref="N170:O170"/>
    <mergeCell ref="B146:D146"/>
    <mergeCell ref="D171:D172"/>
    <mergeCell ref="N171:N172"/>
    <mergeCell ref="O171:O172"/>
    <mergeCell ref="B214:D214"/>
    <mergeCell ref="B215:D215"/>
  </mergeCells>
  <dataValidations count="3">
    <dataValidation type="list" allowBlank="1" showInputMessage="1" showErrorMessage="1" sqref="D16 D91 D166 D241">
      <formula1>"TOU, non-TOU"</formula1>
    </dataValidation>
    <dataValidation type="list" allowBlank="1" showInputMessage="1" showErrorMessage="1" sqref="E72 E66 E48:E49 E40:E46 E23:E38 E51:E60 E147 E141 E123:E124 E115:E121 E98:E113 E126:E135 E222 E216 E198:E199 E190:E196 E173:E188 E201:E210 E297 E291 E273:E274 E265:E271 E248:E263 E276:E285">
      <formula1>#REF!</formula1>
    </dataValidation>
    <dataValidation type="list" allowBlank="1" showInputMessage="1" showErrorMessage="1" prompt="Select Charge Unit - monthly, per kWh, per kW" sqref="D48:D49 D40:D46 D66 D23:D38 D72 D51:D60 D123:D124 D115:D121 D141 D98:D113 D147 D126:D135 D198:D199 D190:D196 D216 D173:D188 D222 D201:D210 D273:D274 D265:D271 D291 D248:D263 D297 D276:D285">
      <formula1>"Monthly, per kWh, per kW"</formula1>
    </dataValidation>
  </dataValidations>
  <pageMargins left="0.7" right="0.7" top="0.75" bottom="0.75" header="0.3" footer="0.3"/>
  <pageSetup scale="48" fitToHeight="0" orientation="portrait" r:id="rId1"/>
  <rowBreaks count="3" manualBreakCount="3">
    <brk id="84" max="15" man="1"/>
    <brk id="159" max="15" man="1"/>
    <brk id="234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68" r:id="rId4" name="Option Button 124">
              <controlPr defaultSize="0" autoFill="0" autoLine="0" autoPict="0">
                <anchor moveWithCells="1">
                  <from>
                    <xdr:col>5</xdr:col>
                    <xdr:colOff>632460</xdr:colOff>
                    <xdr:row>13</xdr:row>
                    <xdr:rowOff>182880</xdr:rowOff>
                  </from>
                  <to>
                    <xdr:col>8</xdr:col>
                    <xdr:colOff>22860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5" name="Option Button 128">
              <controlPr defaultSize="0" autoFill="0" autoLine="0" autoPict="0">
                <anchor moveWithCells="1">
                  <from>
                    <xdr:col>7</xdr:col>
                    <xdr:colOff>556260</xdr:colOff>
                    <xdr:row>14</xdr:row>
                    <xdr:rowOff>30480</xdr:rowOff>
                  </from>
                  <to>
                    <xdr:col>13</xdr:col>
                    <xdr:colOff>419100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K307"/>
  <sheetViews>
    <sheetView view="pageBreakPreview" topLeftCell="A9" zoomScale="80" zoomScaleNormal="80" zoomScaleSheetLayoutView="80" workbookViewId="0">
      <selection activeCell="D262" sqref="D262"/>
    </sheetView>
  </sheetViews>
  <sheetFormatPr defaultColWidth="9.109375" defaultRowHeight="14.4" x14ac:dyDescent="0.3"/>
  <cols>
    <col min="1" max="1" width="4.44140625" style="60" customWidth="1"/>
    <col min="2" max="2" width="58.21875" style="60" customWidth="1"/>
    <col min="3" max="3" width="1.33203125" style="60" customWidth="1"/>
    <col min="4" max="4" width="11.33203125" style="60" customWidth="1"/>
    <col min="5" max="5" width="1.33203125" style="60" customWidth="1"/>
    <col min="6" max="6" width="12.33203125" style="60" customWidth="1"/>
    <col min="7" max="7" width="14.44140625" style="60" bestFit="1" customWidth="1"/>
    <col min="8" max="8" width="12.33203125" style="60" customWidth="1"/>
    <col min="9" max="9" width="2.88671875" style="60" customWidth="1"/>
    <col min="10" max="10" width="12.109375" style="60" customWidth="1"/>
    <col min="11" max="11" width="12" style="60" customWidth="1"/>
    <col min="12" max="12" width="12.5546875" style="60" customWidth="1"/>
    <col min="13" max="13" width="2.88671875" style="60" customWidth="1"/>
    <col min="14" max="14" width="12.6640625" style="60" bestFit="1" customWidth="1"/>
    <col min="15" max="15" width="13.6640625" style="60" customWidth="1"/>
    <col min="16" max="16" width="3.88671875" style="60" customWidth="1"/>
    <col min="17" max="19" width="9.109375" style="60"/>
    <col min="20" max="20" width="9.109375" style="60" customWidth="1"/>
    <col min="21" max="16384" width="9.109375" style="60"/>
  </cols>
  <sheetData>
    <row r="1" spans="1:20" s="53" customFormat="1" ht="9.6" hidden="1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N1" s="54" t="s">
        <v>0</v>
      </c>
      <c r="O1" s="55" t="s">
        <v>76</v>
      </c>
      <c r="P1" s="56"/>
      <c r="T1" s="53">
        <v>1</v>
      </c>
    </row>
    <row r="2" spans="1:20" s="53" customFormat="1" ht="9.6" hidden="1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N2" s="54" t="s">
        <v>1</v>
      </c>
      <c r="O2" s="2"/>
      <c r="P2" s="56"/>
    </row>
    <row r="3" spans="1:20" s="53" customFormat="1" ht="9.6" hidden="1" customHeigh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N3" s="54" t="s">
        <v>2</v>
      </c>
      <c r="O3" s="2"/>
      <c r="P3" s="56"/>
    </row>
    <row r="4" spans="1:20" s="53" customFormat="1" ht="9.6" hidden="1" customHeight="1" x14ac:dyDescent="0.3">
      <c r="A4" s="57"/>
      <c r="B4" s="57"/>
      <c r="C4" s="57"/>
      <c r="D4" s="57"/>
      <c r="E4" s="57"/>
      <c r="F4" s="57"/>
      <c r="G4" s="57"/>
      <c r="H4" s="57"/>
      <c r="I4" s="58"/>
      <c r="J4" s="58"/>
      <c r="K4" s="58"/>
      <c r="N4" s="54" t="s">
        <v>3</v>
      </c>
      <c r="O4" s="2"/>
      <c r="P4" s="56"/>
    </row>
    <row r="5" spans="1:20" s="53" customFormat="1" ht="9.6" hidden="1" customHeight="1" x14ac:dyDescent="0.3">
      <c r="C5" s="59"/>
      <c r="D5" s="59"/>
      <c r="E5" s="59"/>
      <c r="N5" s="54" t="s">
        <v>4</v>
      </c>
      <c r="O5" s="3"/>
      <c r="P5" s="56"/>
    </row>
    <row r="6" spans="1:20" s="53" customFormat="1" ht="9.6" hidden="1" customHeight="1" x14ac:dyDescent="0.3">
      <c r="N6" s="54"/>
      <c r="O6" s="1"/>
      <c r="P6" s="56"/>
    </row>
    <row r="7" spans="1:20" s="53" customFormat="1" hidden="1" x14ac:dyDescent="0.3">
      <c r="N7" s="54" t="s">
        <v>5</v>
      </c>
      <c r="O7" s="3"/>
      <c r="P7" s="56"/>
    </row>
    <row r="8" spans="1:20" s="53" customFormat="1" ht="15" hidden="1" customHeight="1" x14ac:dyDescent="0.3">
      <c r="N8" s="60"/>
      <c r="O8" s="56"/>
      <c r="P8" s="56"/>
    </row>
    <row r="9" spans="1:20" ht="7.5" customHeight="1" x14ac:dyDescent="0.3">
      <c r="L9" s="56"/>
      <c r="M9" s="56"/>
      <c r="N9" s="56"/>
      <c r="O9" s="56"/>
      <c r="P9" s="56"/>
    </row>
    <row r="10" spans="1:20" ht="18.75" customHeight="1" x14ac:dyDescent="0.3">
      <c r="B10" s="175" t="s">
        <v>6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56"/>
    </row>
    <row r="11" spans="1:20" ht="18.75" customHeight="1" x14ac:dyDescent="0.3">
      <c r="B11" s="175" t="s">
        <v>7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56"/>
    </row>
    <row r="12" spans="1:20" ht="7.5" customHeight="1" x14ac:dyDescent="0.3">
      <c r="L12" s="56"/>
      <c r="M12" s="56"/>
      <c r="N12" s="56"/>
      <c r="O12" s="56"/>
      <c r="P12" s="56"/>
    </row>
    <row r="13" spans="1:20" ht="7.5" customHeight="1" x14ac:dyDescent="0.3">
      <c r="L13" s="56"/>
      <c r="M13" s="56"/>
      <c r="N13" s="56"/>
      <c r="O13" s="56"/>
      <c r="P13" s="56"/>
    </row>
    <row r="14" spans="1:20" ht="15.6" x14ac:dyDescent="0.3">
      <c r="B14" s="61" t="s">
        <v>8</v>
      </c>
      <c r="D14" s="185" t="s">
        <v>77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</row>
    <row r="15" spans="1:20" ht="7.5" customHeight="1" x14ac:dyDescent="0.3">
      <c r="B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20" ht="15.6" x14ac:dyDescent="0.3">
      <c r="B16" s="61" t="s">
        <v>9</v>
      </c>
      <c r="D16" s="5" t="s">
        <v>63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pans="2:29" ht="15.6" x14ac:dyDescent="0.3">
      <c r="B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2:29" x14ac:dyDescent="0.3">
      <c r="B18" s="64"/>
      <c r="D18" s="65" t="s">
        <v>11</v>
      </c>
      <c r="E18" s="65"/>
      <c r="F18" s="6">
        <v>100</v>
      </c>
      <c r="G18" s="65" t="s">
        <v>64</v>
      </c>
    </row>
    <row r="19" spans="2:29" x14ac:dyDescent="0.3">
      <c r="B19" s="64"/>
      <c r="F19" s="6">
        <v>30000</v>
      </c>
      <c r="G19" s="65" t="s">
        <v>12</v>
      </c>
    </row>
    <row r="20" spans="2:29" x14ac:dyDescent="0.3">
      <c r="B20" s="64"/>
      <c r="D20" s="66"/>
      <c r="E20" s="66"/>
      <c r="F20" s="176" t="s">
        <v>13</v>
      </c>
      <c r="G20" s="177"/>
      <c r="H20" s="178"/>
      <c r="J20" s="176" t="s">
        <v>14</v>
      </c>
      <c r="K20" s="177"/>
      <c r="L20" s="178"/>
      <c r="N20" s="176" t="s">
        <v>15</v>
      </c>
      <c r="O20" s="178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</row>
    <row r="21" spans="2:29" x14ac:dyDescent="0.3">
      <c r="B21" s="64"/>
      <c r="D21" s="179" t="s">
        <v>16</v>
      </c>
      <c r="E21" s="67"/>
      <c r="F21" s="68" t="s">
        <v>17</v>
      </c>
      <c r="G21" s="68" t="s">
        <v>18</v>
      </c>
      <c r="H21" s="69" t="s">
        <v>19</v>
      </c>
      <c r="J21" s="68" t="s">
        <v>17</v>
      </c>
      <c r="K21" s="70" t="s">
        <v>18</v>
      </c>
      <c r="L21" s="69" t="s">
        <v>19</v>
      </c>
      <c r="N21" s="181" t="s">
        <v>20</v>
      </c>
      <c r="O21" s="183" t="s">
        <v>21</v>
      </c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</row>
    <row r="22" spans="2:29" x14ac:dyDescent="0.3">
      <c r="B22" s="64"/>
      <c r="D22" s="180"/>
      <c r="E22" s="67"/>
      <c r="F22" s="71" t="s">
        <v>22</v>
      </c>
      <c r="G22" s="71"/>
      <c r="H22" s="72" t="s">
        <v>22</v>
      </c>
      <c r="J22" s="71" t="s">
        <v>22</v>
      </c>
      <c r="K22" s="72"/>
      <c r="L22" s="72" t="s">
        <v>22</v>
      </c>
      <c r="N22" s="182"/>
      <c r="O22" s="184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</row>
    <row r="23" spans="2:29" x14ac:dyDescent="0.3">
      <c r="B23" s="73" t="s">
        <v>23</v>
      </c>
      <c r="C23" s="73"/>
      <c r="D23" s="7" t="s">
        <v>24</v>
      </c>
      <c r="E23" s="73"/>
      <c r="F23" s="129">
        <v>118.45</v>
      </c>
      <c r="G23" s="74">
        <v>1</v>
      </c>
      <c r="H23" s="75">
        <f t="shared" ref="H23:H38" si="0">G23*F23</f>
        <v>118.45</v>
      </c>
      <c r="I23" s="76"/>
      <c r="J23" s="129">
        <v>118.45</v>
      </c>
      <c r="K23" s="77">
        <v>1</v>
      </c>
      <c r="L23" s="75">
        <f t="shared" ref="L23:L38" si="1">K23*J23</f>
        <v>118.45</v>
      </c>
      <c r="M23" s="76"/>
      <c r="N23" s="78">
        <f t="shared" ref="N23:N59" si="2">L23-H23</f>
        <v>0</v>
      </c>
      <c r="O23" s="79">
        <f t="shared" ref="O23:O45" si="3">IF((H23)=0,"",(N23/H23))</f>
        <v>0</v>
      </c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</row>
    <row r="24" spans="2:29" x14ac:dyDescent="0.3">
      <c r="B24" s="73" t="s">
        <v>25</v>
      </c>
      <c r="C24" s="73"/>
      <c r="D24" s="7" t="s">
        <v>24</v>
      </c>
      <c r="E24" s="73"/>
      <c r="F24" s="133"/>
      <c r="G24" s="74">
        <v>1</v>
      </c>
      <c r="H24" s="136">
        <f t="shared" si="0"/>
        <v>0</v>
      </c>
      <c r="I24" s="76"/>
      <c r="J24" s="130"/>
      <c r="K24" s="77">
        <v>1</v>
      </c>
      <c r="L24" s="136">
        <f t="shared" si="1"/>
        <v>0</v>
      </c>
      <c r="M24" s="76"/>
      <c r="N24" s="137">
        <f t="shared" si="2"/>
        <v>0</v>
      </c>
      <c r="O24" s="79" t="str">
        <f t="shared" si="3"/>
        <v/>
      </c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</row>
    <row r="25" spans="2:29" x14ac:dyDescent="0.3">
      <c r="B25" s="9"/>
      <c r="C25" s="73"/>
      <c r="D25" s="7"/>
      <c r="E25" s="73"/>
      <c r="F25" s="134"/>
      <c r="G25" s="74">
        <v>1</v>
      </c>
      <c r="H25" s="136">
        <f t="shared" si="0"/>
        <v>0</v>
      </c>
      <c r="I25" s="76"/>
      <c r="J25" s="131"/>
      <c r="K25" s="77">
        <v>1</v>
      </c>
      <c r="L25" s="136">
        <f t="shared" si="1"/>
        <v>0</v>
      </c>
      <c r="M25" s="76"/>
      <c r="N25" s="137">
        <f t="shared" si="2"/>
        <v>0</v>
      </c>
      <c r="O25" s="79" t="str">
        <f t="shared" si="3"/>
        <v/>
      </c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</row>
    <row r="26" spans="2:29" x14ac:dyDescent="0.3">
      <c r="B26" s="9"/>
      <c r="C26" s="73"/>
      <c r="D26" s="7"/>
      <c r="E26" s="73"/>
      <c r="F26" s="134"/>
      <c r="G26" s="74">
        <v>1</v>
      </c>
      <c r="H26" s="136">
        <f t="shared" si="0"/>
        <v>0</v>
      </c>
      <c r="I26" s="76"/>
      <c r="J26" s="131"/>
      <c r="K26" s="77">
        <v>1</v>
      </c>
      <c r="L26" s="136">
        <f t="shared" si="1"/>
        <v>0</v>
      </c>
      <c r="M26" s="76"/>
      <c r="N26" s="137">
        <f t="shared" si="2"/>
        <v>0</v>
      </c>
      <c r="O26" s="79" t="str">
        <f t="shared" si="3"/>
        <v/>
      </c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</row>
    <row r="27" spans="2:29" x14ac:dyDescent="0.3">
      <c r="B27" s="10"/>
      <c r="C27" s="73"/>
      <c r="D27" s="7"/>
      <c r="E27" s="73"/>
      <c r="F27" s="134"/>
      <c r="G27" s="74">
        <v>1</v>
      </c>
      <c r="H27" s="136">
        <f t="shared" si="0"/>
        <v>0</v>
      </c>
      <c r="I27" s="76"/>
      <c r="J27" s="131"/>
      <c r="K27" s="77">
        <v>1</v>
      </c>
      <c r="L27" s="136">
        <f t="shared" si="1"/>
        <v>0</v>
      </c>
      <c r="M27" s="76"/>
      <c r="N27" s="137">
        <f t="shared" si="2"/>
        <v>0</v>
      </c>
      <c r="O27" s="79" t="str">
        <f t="shared" si="3"/>
        <v/>
      </c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</row>
    <row r="28" spans="2:29" x14ac:dyDescent="0.3">
      <c r="B28" s="10"/>
      <c r="C28" s="73"/>
      <c r="D28" s="7"/>
      <c r="E28" s="73"/>
      <c r="F28" s="134"/>
      <c r="G28" s="74">
        <v>1</v>
      </c>
      <c r="H28" s="136">
        <f t="shared" si="0"/>
        <v>0</v>
      </c>
      <c r="I28" s="76"/>
      <c r="J28" s="131"/>
      <c r="K28" s="77">
        <v>1</v>
      </c>
      <c r="L28" s="136">
        <f t="shared" si="1"/>
        <v>0</v>
      </c>
      <c r="M28" s="76"/>
      <c r="N28" s="137">
        <f t="shared" si="2"/>
        <v>0</v>
      </c>
      <c r="O28" s="79" t="str">
        <f t="shared" si="3"/>
        <v/>
      </c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</row>
    <row r="29" spans="2:29" x14ac:dyDescent="0.3">
      <c r="B29" s="73" t="s">
        <v>26</v>
      </c>
      <c r="C29" s="73"/>
      <c r="D29" s="7" t="s">
        <v>67</v>
      </c>
      <c r="E29" s="73"/>
      <c r="F29" s="135">
        <v>3.6776</v>
      </c>
      <c r="G29" s="74">
        <f>$F18</f>
        <v>100</v>
      </c>
      <c r="H29" s="136">
        <f t="shared" si="0"/>
        <v>367.76</v>
      </c>
      <c r="I29" s="76"/>
      <c r="J29" s="132">
        <v>4.6319999999999997</v>
      </c>
      <c r="K29" s="74">
        <f>$F18</f>
        <v>100</v>
      </c>
      <c r="L29" s="136">
        <f t="shared" si="1"/>
        <v>463.2</v>
      </c>
      <c r="M29" s="76"/>
      <c r="N29" s="137">
        <f t="shared" si="2"/>
        <v>95.44</v>
      </c>
      <c r="O29" s="79">
        <f t="shared" si="3"/>
        <v>0.25951707635414401</v>
      </c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</row>
    <row r="30" spans="2:29" x14ac:dyDescent="0.3">
      <c r="B30" s="73" t="s">
        <v>28</v>
      </c>
      <c r="C30" s="73"/>
      <c r="D30" s="7" t="s">
        <v>24</v>
      </c>
      <c r="E30" s="73"/>
      <c r="F30" s="135"/>
      <c r="G30" s="74">
        <v>1</v>
      </c>
      <c r="H30" s="136">
        <f t="shared" si="0"/>
        <v>0</v>
      </c>
      <c r="I30" s="76"/>
      <c r="J30" s="132"/>
      <c r="K30" s="74">
        <v>1</v>
      </c>
      <c r="L30" s="136">
        <f t="shared" si="1"/>
        <v>0</v>
      </c>
      <c r="M30" s="76"/>
      <c r="N30" s="137">
        <f t="shared" si="2"/>
        <v>0</v>
      </c>
      <c r="O30" s="79" t="str">
        <f t="shared" si="3"/>
        <v/>
      </c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</row>
    <row r="31" spans="2:29" x14ac:dyDescent="0.3">
      <c r="B31" s="73" t="s">
        <v>29</v>
      </c>
      <c r="C31" s="73"/>
      <c r="D31" s="7" t="s">
        <v>67</v>
      </c>
      <c r="E31" s="73"/>
      <c r="F31" s="135">
        <v>3.3E-3</v>
      </c>
      <c r="G31" s="74">
        <f>$F18</f>
        <v>100</v>
      </c>
      <c r="H31" s="136">
        <f t="shared" si="0"/>
        <v>0.33</v>
      </c>
      <c r="I31" s="76"/>
      <c r="J31" s="171">
        <v>0</v>
      </c>
      <c r="K31" s="74">
        <f>$F18</f>
        <v>100</v>
      </c>
      <c r="L31" s="136">
        <f t="shared" si="1"/>
        <v>0</v>
      </c>
      <c r="M31" s="76"/>
      <c r="N31" s="137">
        <f t="shared" si="2"/>
        <v>-0.33</v>
      </c>
      <c r="O31" s="79">
        <f t="shared" si="3"/>
        <v>-1</v>
      </c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</row>
    <row r="32" spans="2:29" x14ac:dyDescent="0.3">
      <c r="B32" s="11" t="s">
        <v>30</v>
      </c>
      <c r="C32" s="73"/>
      <c r="D32" s="7" t="s">
        <v>67</v>
      </c>
      <c r="E32" s="73"/>
      <c r="F32" s="135">
        <v>0.25109999999999999</v>
      </c>
      <c r="G32" s="74">
        <f>$F18</f>
        <v>100</v>
      </c>
      <c r="H32" s="136">
        <f t="shared" si="0"/>
        <v>25.11</v>
      </c>
      <c r="I32" s="76"/>
      <c r="J32" s="132"/>
      <c r="K32" s="74">
        <f>$F18</f>
        <v>100</v>
      </c>
      <c r="L32" s="136">
        <f t="shared" si="1"/>
        <v>0</v>
      </c>
      <c r="M32" s="76"/>
      <c r="N32" s="137">
        <f t="shared" si="2"/>
        <v>-25.11</v>
      </c>
      <c r="O32" s="79">
        <f t="shared" si="3"/>
        <v>-1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</row>
    <row r="33" spans="1:63" x14ac:dyDescent="0.3">
      <c r="B33" s="11" t="s">
        <v>31</v>
      </c>
      <c r="C33" s="73"/>
      <c r="D33" s="7" t="s">
        <v>67</v>
      </c>
      <c r="E33" s="73"/>
      <c r="F33" s="135">
        <v>-4.65E-2</v>
      </c>
      <c r="G33" s="74">
        <f>$F18</f>
        <v>100</v>
      </c>
      <c r="H33" s="136">
        <f t="shared" si="0"/>
        <v>-4.6500000000000004</v>
      </c>
      <c r="I33" s="76"/>
      <c r="J33" s="132"/>
      <c r="K33" s="74">
        <f>$F18</f>
        <v>100</v>
      </c>
      <c r="L33" s="136">
        <f t="shared" si="1"/>
        <v>0</v>
      </c>
      <c r="M33" s="76"/>
      <c r="N33" s="137">
        <f t="shared" si="2"/>
        <v>4.6500000000000004</v>
      </c>
      <c r="O33" s="79">
        <f t="shared" si="3"/>
        <v>-1</v>
      </c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</row>
    <row r="34" spans="1:63" x14ac:dyDescent="0.3">
      <c r="B34" s="11" t="s">
        <v>32</v>
      </c>
      <c r="C34" s="73"/>
      <c r="D34" s="7" t="s">
        <v>24</v>
      </c>
      <c r="E34" s="73"/>
      <c r="F34" s="135"/>
      <c r="G34" s="74">
        <v>1</v>
      </c>
      <c r="H34" s="136">
        <f t="shared" si="0"/>
        <v>0</v>
      </c>
      <c r="I34" s="76"/>
      <c r="J34" s="132"/>
      <c r="K34" s="74">
        <v>1</v>
      </c>
      <c r="L34" s="136">
        <f t="shared" si="1"/>
        <v>0</v>
      </c>
      <c r="M34" s="76"/>
      <c r="N34" s="137">
        <f t="shared" si="2"/>
        <v>0</v>
      </c>
      <c r="O34" s="79" t="str">
        <f t="shared" si="3"/>
        <v/>
      </c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</row>
    <row r="35" spans="1:63" x14ac:dyDescent="0.3">
      <c r="B35" s="12" t="str">
        <f>+Residential!$B$35</f>
        <v>Rate Rider for Disposition of Account 1576</v>
      </c>
      <c r="C35" s="73"/>
      <c r="D35" s="7" t="s">
        <v>67</v>
      </c>
      <c r="E35" s="73"/>
      <c r="F35" s="134"/>
      <c r="G35" s="74">
        <f>$F18</f>
        <v>100</v>
      </c>
      <c r="H35" s="136">
        <f t="shared" si="0"/>
        <v>0</v>
      </c>
      <c r="I35" s="76"/>
      <c r="J35" s="132">
        <v>-0.21049999999999999</v>
      </c>
      <c r="K35" s="74">
        <f>$F18</f>
        <v>100</v>
      </c>
      <c r="L35" s="136">
        <f t="shared" si="1"/>
        <v>-21.05</v>
      </c>
      <c r="M35" s="76"/>
      <c r="N35" s="137">
        <f t="shared" si="2"/>
        <v>-21.05</v>
      </c>
      <c r="O35" s="79" t="str">
        <f t="shared" si="3"/>
        <v/>
      </c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</row>
    <row r="36" spans="1:63" x14ac:dyDescent="0.3">
      <c r="B36" s="12" t="str">
        <f>+Residential!$B$36</f>
        <v xml:space="preserve">Rate Rider for Disposition of CGAAP CWIP differential </v>
      </c>
      <c r="C36" s="73"/>
      <c r="D36" s="7" t="s">
        <v>67</v>
      </c>
      <c r="E36" s="73"/>
      <c r="F36" s="134"/>
      <c r="G36" s="74">
        <f>$F18</f>
        <v>100</v>
      </c>
      <c r="H36" s="136">
        <f t="shared" si="0"/>
        <v>0</v>
      </c>
      <c r="I36" s="76"/>
      <c r="J36" s="132">
        <v>0.1138</v>
      </c>
      <c r="K36" s="74">
        <f>$F18</f>
        <v>100</v>
      </c>
      <c r="L36" s="136">
        <f t="shared" si="1"/>
        <v>11.379999999999999</v>
      </c>
      <c r="M36" s="76"/>
      <c r="N36" s="137">
        <f t="shared" si="2"/>
        <v>11.379999999999999</v>
      </c>
      <c r="O36" s="79" t="str">
        <f t="shared" si="3"/>
        <v/>
      </c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</row>
    <row r="37" spans="1:63" x14ac:dyDescent="0.3">
      <c r="B37" s="12" t="str">
        <f>+Residential!$B$37</f>
        <v xml:space="preserve">Rate Rider for Disposition of Incremental Capital Expenditures </v>
      </c>
      <c r="C37" s="73"/>
      <c r="D37" s="7" t="s">
        <v>67</v>
      </c>
      <c r="E37" s="73"/>
      <c r="F37" s="131"/>
      <c r="G37" s="74">
        <f>$F18</f>
        <v>100</v>
      </c>
      <c r="H37" s="136">
        <f t="shared" si="0"/>
        <v>0</v>
      </c>
      <c r="I37" s="76"/>
      <c r="J37" s="132">
        <v>6.8199999999999997E-2</v>
      </c>
      <c r="K37" s="74">
        <f>$F18</f>
        <v>100</v>
      </c>
      <c r="L37" s="136">
        <f t="shared" si="1"/>
        <v>6.8199999999999994</v>
      </c>
      <c r="M37" s="76"/>
      <c r="N37" s="137">
        <f t="shared" si="2"/>
        <v>6.8199999999999994</v>
      </c>
      <c r="O37" s="79" t="str">
        <f t="shared" si="3"/>
        <v/>
      </c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</row>
    <row r="38" spans="1:63" x14ac:dyDescent="0.3">
      <c r="B38" s="12"/>
      <c r="C38" s="73"/>
      <c r="D38" s="7"/>
      <c r="E38" s="73"/>
      <c r="F38" s="131"/>
      <c r="G38" s="74">
        <f>$F18</f>
        <v>100</v>
      </c>
      <c r="H38" s="136">
        <f t="shared" si="0"/>
        <v>0</v>
      </c>
      <c r="I38" s="76"/>
      <c r="J38" s="131"/>
      <c r="K38" s="74">
        <f>$F18</f>
        <v>100</v>
      </c>
      <c r="L38" s="136">
        <f t="shared" si="1"/>
        <v>0</v>
      </c>
      <c r="M38" s="76"/>
      <c r="N38" s="137">
        <f t="shared" si="2"/>
        <v>0</v>
      </c>
      <c r="O38" s="79" t="str">
        <f t="shared" si="3"/>
        <v/>
      </c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</row>
    <row r="39" spans="1:63" s="4" customFormat="1" x14ac:dyDescent="0.3">
      <c r="A39" s="60"/>
      <c r="B39" s="19" t="s">
        <v>33</v>
      </c>
      <c r="C39" s="20"/>
      <c r="D39" s="20"/>
      <c r="E39" s="20"/>
      <c r="F39" s="21"/>
      <c r="G39" s="22"/>
      <c r="H39" s="23">
        <f>SUM(H23:H38)</f>
        <v>507</v>
      </c>
      <c r="I39" s="13"/>
      <c r="J39" s="14"/>
      <c r="K39" s="24"/>
      <c r="L39" s="23">
        <f>SUM(L23:L38)</f>
        <v>578.80000000000007</v>
      </c>
      <c r="M39" s="13"/>
      <c r="N39" s="15">
        <f t="shared" si="2"/>
        <v>71.800000000000068</v>
      </c>
      <c r="O39" s="16">
        <f t="shared" si="3"/>
        <v>0.14161735700197253</v>
      </c>
      <c r="P39" s="60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</row>
    <row r="40" spans="1:63" x14ac:dyDescent="0.3">
      <c r="B40" s="17" t="s">
        <v>34</v>
      </c>
      <c r="C40" s="73"/>
      <c r="D40" s="7" t="s">
        <v>67</v>
      </c>
      <c r="E40" s="73"/>
      <c r="F40" s="135">
        <v>9.5299999999999996E-2</v>
      </c>
      <c r="G40" s="74">
        <f>$F18</f>
        <v>100</v>
      </c>
      <c r="H40" s="136">
        <f t="shared" ref="H40:H46" si="4">G40*F40</f>
        <v>9.5299999999999994</v>
      </c>
      <c r="I40" s="76"/>
      <c r="J40" s="132">
        <v>-0.52270000000000005</v>
      </c>
      <c r="K40" s="74">
        <f>$F18</f>
        <v>100</v>
      </c>
      <c r="L40" s="136">
        <f t="shared" ref="L40:L46" si="5">K40*J40</f>
        <v>-52.27</v>
      </c>
      <c r="M40" s="76"/>
      <c r="N40" s="137">
        <f t="shared" si="2"/>
        <v>-61.800000000000004</v>
      </c>
      <c r="O40" s="79">
        <f t="shared" si="3"/>
        <v>-6.4847848898216167</v>
      </c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</row>
    <row r="41" spans="1:63" x14ac:dyDescent="0.3">
      <c r="B41" s="17"/>
      <c r="C41" s="73"/>
      <c r="D41" s="7"/>
      <c r="E41" s="73"/>
      <c r="F41" s="8"/>
      <c r="G41" s="74">
        <f>$F18</f>
        <v>100</v>
      </c>
      <c r="H41" s="136">
        <f t="shared" si="4"/>
        <v>0</v>
      </c>
      <c r="I41" s="82"/>
      <c r="J41" s="8"/>
      <c r="K41" s="74">
        <f>$F18</f>
        <v>100</v>
      </c>
      <c r="L41" s="136">
        <f t="shared" si="5"/>
        <v>0</v>
      </c>
      <c r="M41" s="83"/>
      <c r="N41" s="137">
        <f t="shared" si="2"/>
        <v>0</v>
      </c>
      <c r="O41" s="79" t="str">
        <f t="shared" si="3"/>
        <v/>
      </c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</row>
    <row r="42" spans="1:63" x14ac:dyDescent="0.3">
      <c r="B42" s="17"/>
      <c r="C42" s="73"/>
      <c r="D42" s="7"/>
      <c r="E42" s="73"/>
      <c r="F42" s="8"/>
      <c r="G42" s="74">
        <f>$F18</f>
        <v>100</v>
      </c>
      <c r="H42" s="136">
        <f t="shared" si="4"/>
        <v>0</v>
      </c>
      <c r="I42" s="82"/>
      <c r="J42" s="8"/>
      <c r="K42" s="74">
        <f>$F18</f>
        <v>100</v>
      </c>
      <c r="L42" s="136">
        <f t="shared" si="5"/>
        <v>0</v>
      </c>
      <c r="M42" s="83"/>
      <c r="N42" s="137">
        <f t="shared" si="2"/>
        <v>0</v>
      </c>
      <c r="O42" s="79" t="str">
        <f t="shared" si="3"/>
        <v/>
      </c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</row>
    <row r="43" spans="1:63" x14ac:dyDescent="0.3">
      <c r="B43" s="17"/>
      <c r="C43" s="73"/>
      <c r="D43" s="7"/>
      <c r="E43" s="73"/>
      <c r="F43" s="8"/>
      <c r="G43" s="74">
        <f>$F18</f>
        <v>100</v>
      </c>
      <c r="H43" s="136">
        <f t="shared" si="4"/>
        <v>0</v>
      </c>
      <c r="I43" s="82"/>
      <c r="J43" s="8"/>
      <c r="K43" s="74">
        <f>$F18</f>
        <v>100</v>
      </c>
      <c r="L43" s="136">
        <f t="shared" si="5"/>
        <v>0</v>
      </c>
      <c r="M43" s="83"/>
      <c r="N43" s="137">
        <f t="shared" si="2"/>
        <v>0</v>
      </c>
      <c r="O43" s="79" t="str">
        <f t="shared" si="3"/>
        <v/>
      </c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</row>
    <row r="44" spans="1:63" x14ac:dyDescent="0.3">
      <c r="B44" s="80" t="s">
        <v>35</v>
      </c>
      <c r="C44" s="73"/>
      <c r="D44" s="7" t="s">
        <v>67</v>
      </c>
      <c r="E44" s="73"/>
      <c r="F44" s="135">
        <v>6.3799999999999996E-2</v>
      </c>
      <c r="G44" s="74">
        <f>$F18</f>
        <v>100</v>
      </c>
      <c r="H44" s="136">
        <f t="shared" si="4"/>
        <v>6.38</v>
      </c>
      <c r="I44" s="76"/>
      <c r="J44" s="132">
        <v>0.1313</v>
      </c>
      <c r="K44" s="74">
        <f>$F18</f>
        <v>100</v>
      </c>
      <c r="L44" s="136">
        <f t="shared" si="5"/>
        <v>13.13</v>
      </c>
      <c r="M44" s="76"/>
      <c r="N44" s="137">
        <f t="shared" si="2"/>
        <v>6.7500000000000009</v>
      </c>
      <c r="O44" s="79">
        <f t="shared" si="3"/>
        <v>1.0579937304075238</v>
      </c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</row>
    <row r="45" spans="1:63" x14ac:dyDescent="0.3">
      <c r="B45" s="80" t="s">
        <v>36</v>
      </c>
      <c r="C45" s="73"/>
      <c r="D45" s="7" t="s">
        <v>27</v>
      </c>
      <c r="E45" s="73"/>
      <c r="F45" s="138">
        <f>IF(ISBLANK(D16)=TRUE, 0, IF(D16="TOU", 0.64*$F55+0.18*$F56+0.18*$F57, IF(AND(D16="non-TOU", G59&gt;0), F59,F58)))</f>
        <v>8.7999999999999995E-2</v>
      </c>
      <c r="G45" s="18">
        <f>$F19*(1+$F74)-$F19</f>
        <v>1131.0000000000036</v>
      </c>
      <c r="H45" s="136">
        <f t="shared" si="4"/>
        <v>99.528000000000318</v>
      </c>
      <c r="I45" s="76"/>
      <c r="J45" s="138">
        <f>+F45</f>
        <v>8.7999999999999995E-2</v>
      </c>
      <c r="K45" s="18">
        <f>$F19*(1+$J74)-$F19</f>
        <v>1128.0000000000036</v>
      </c>
      <c r="L45" s="136">
        <f t="shared" si="5"/>
        <v>99.264000000000308</v>
      </c>
      <c r="M45" s="76"/>
      <c r="N45" s="137">
        <f t="shared" si="2"/>
        <v>-0.26400000000001</v>
      </c>
      <c r="O45" s="79">
        <f t="shared" si="3"/>
        <v>-2.6525198938992965E-3</v>
      </c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</row>
    <row r="46" spans="1:63" x14ac:dyDescent="0.3">
      <c r="B46" s="80" t="s">
        <v>37</v>
      </c>
      <c r="C46" s="73"/>
      <c r="D46" s="7" t="s">
        <v>24</v>
      </c>
      <c r="E46" s="73"/>
      <c r="F46" s="138">
        <v>0</v>
      </c>
      <c r="G46" s="74">
        <v>1</v>
      </c>
      <c r="H46" s="136">
        <f t="shared" si="4"/>
        <v>0</v>
      </c>
      <c r="I46" s="76"/>
      <c r="J46" s="138"/>
      <c r="K46" s="81">
        <v>1</v>
      </c>
      <c r="L46" s="136">
        <f t="shared" si="5"/>
        <v>0</v>
      </c>
      <c r="M46" s="76"/>
      <c r="N46" s="137">
        <f t="shared" si="2"/>
        <v>0</v>
      </c>
      <c r="O46" s="79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</row>
    <row r="47" spans="1:63" s="4" customFormat="1" x14ac:dyDescent="0.3">
      <c r="A47" s="60"/>
      <c r="B47" s="19" t="s">
        <v>38</v>
      </c>
      <c r="C47" s="20"/>
      <c r="D47" s="20"/>
      <c r="E47" s="20"/>
      <c r="F47" s="21"/>
      <c r="G47" s="22"/>
      <c r="H47" s="23">
        <f>SUM(H40:H46)+H39</f>
        <v>622.43800000000033</v>
      </c>
      <c r="I47" s="13"/>
      <c r="J47" s="22"/>
      <c r="K47" s="24"/>
      <c r="L47" s="23">
        <f>SUM(L40:L46)+L39</f>
        <v>638.92400000000043</v>
      </c>
      <c r="M47" s="13"/>
      <c r="N47" s="15">
        <f t="shared" si="2"/>
        <v>16.486000000000104</v>
      </c>
      <c r="O47" s="16">
        <f t="shared" ref="O47:O59" si="6">IF((H47)=0,"",(N47/H47))</f>
        <v>2.6486172116741098E-2</v>
      </c>
      <c r="P47" s="60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</row>
    <row r="48" spans="1:63" x14ac:dyDescent="0.3">
      <c r="B48" s="76" t="s">
        <v>39</v>
      </c>
      <c r="C48" s="76"/>
      <c r="D48" s="25" t="s">
        <v>67</v>
      </c>
      <c r="E48" s="76"/>
      <c r="F48" s="135">
        <v>2.8561000000000001</v>
      </c>
      <c r="G48" s="18">
        <f>F18*(1+F74)</f>
        <v>103.77000000000001</v>
      </c>
      <c r="H48" s="136">
        <f>G48*F48</f>
        <v>296.37749700000006</v>
      </c>
      <c r="I48" s="76"/>
      <c r="J48" s="135">
        <v>2.8328000000000002</v>
      </c>
      <c r="K48" s="18">
        <f>F18*(1+J74)</f>
        <v>103.76</v>
      </c>
      <c r="L48" s="136">
        <f>K48*J48</f>
        <v>293.93132800000001</v>
      </c>
      <c r="M48" s="76"/>
      <c r="N48" s="136">
        <f t="shared" si="2"/>
        <v>-2.4461690000000544</v>
      </c>
      <c r="O48" s="79">
        <f t="shared" si="6"/>
        <v>-8.2535584676999077E-3</v>
      </c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</row>
    <row r="49" spans="1:63" x14ac:dyDescent="0.3">
      <c r="B49" s="85" t="s">
        <v>40</v>
      </c>
      <c r="C49" s="76"/>
      <c r="D49" s="25" t="s">
        <v>67</v>
      </c>
      <c r="E49" s="76"/>
      <c r="F49" s="135">
        <v>1.9374</v>
      </c>
      <c r="G49" s="18">
        <f>G48</f>
        <v>103.77000000000001</v>
      </c>
      <c r="H49" s="136">
        <f>G49*F49</f>
        <v>201.04399800000002</v>
      </c>
      <c r="I49" s="76"/>
      <c r="J49" s="135">
        <v>1.8771</v>
      </c>
      <c r="K49" s="18">
        <f>K48</f>
        <v>103.76</v>
      </c>
      <c r="L49" s="136">
        <f>K49*J49</f>
        <v>194.76789600000001</v>
      </c>
      <c r="M49" s="76"/>
      <c r="N49" s="136">
        <f t="shared" si="2"/>
        <v>-6.2761020000000087</v>
      </c>
      <c r="O49" s="79">
        <f t="shared" si="6"/>
        <v>-3.1217554676762887E-2</v>
      </c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</row>
    <row r="50" spans="1:63" s="4" customFormat="1" x14ac:dyDescent="0.3">
      <c r="A50" s="60"/>
      <c r="B50" s="19" t="s">
        <v>41</v>
      </c>
      <c r="C50" s="20"/>
      <c r="D50" s="20"/>
      <c r="E50" s="20"/>
      <c r="F50" s="21"/>
      <c r="G50" s="22"/>
      <c r="H50" s="23">
        <f>SUM(H47:H49)</f>
        <v>1119.8594950000004</v>
      </c>
      <c r="I50" s="13"/>
      <c r="J50" s="26"/>
      <c r="K50" s="22"/>
      <c r="L50" s="23">
        <f>SUM(L47:L49)</f>
        <v>1127.6232240000004</v>
      </c>
      <c r="M50" s="13"/>
      <c r="N50" s="15">
        <f t="shared" si="2"/>
        <v>7.7637290000000121</v>
      </c>
      <c r="O50" s="16">
        <f t="shared" si="6"/>
        <v>6.9327706151207924E-3</v>
      </c>
      <c r="P50" s="60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</row>
    <row r="51" spans="1:63" x14ac:dyDescent="0.3">
      <c r="B51" s="86" t="s">
        <v>42</v>
      </c>
      <c r="C51" s="73"/>
      <c r="D51" s="7" t="s">
        <v>27</v>
      </c>
      <c r="E51" s="73"/>
      <c r="F51" s="135">
        <v>4.4000000000000003E-3</v>
      </c>
      <c r="G51" s="18">
        <f>F19*(1+F74)</f>
        <v>31131.000000000004</v>
      </c>
      <c r="H51" s="139">
        <f t="shared" ref="H51:H59" si="7">G51*F51</f>
        <v>136.97640000000001</v>
      </c>
      <c r="I51" s="76"/>
      <c r="J51" s="135">
        <f>+F51</f>
        <v>4.4000000000000003E-3</v>
      </c>
      <c r="K51" s="18">
        <f>F19*(1+J74)</f>
        <v>31128.000000000004</v>
      </c>
      <c r="L51" s="139">
        <f t="shared" ref="L51:L59" si="8">K51*J51</f>
        <v>136.96320000000003</v>
      </c>
      <c r="M51" s="76"/>
      <c r="N51" s="137">
        <f t="shared" si="2"/>
        <v>-1.3199999999983447E-2</v>
      </c>
      <c r="O51" s="87">
        <f t="shared" si="6"/>
        <v>-9.6366965404138567E-5</v>
      </c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</row>
    <row r="52" spans="1:63" x14ac:dyDescent="0.3">
      <c r="B52" s="86" t="s">
        <v>43</v>
      </c>
      <c r="C52" s="73"/>
      <c r="D52" s="7" t="s">
        <v>27</v>
      </c>
      <c r="E52" s="73"/>
      <c r="F52" s="135">
        <v>1.1999999999999999E-3</v>
      </c>
      <c r="G52" s="18">
        <f>+G51</f>
        <v>31131.000000000004</v>
      </c>
      <c r="H52" s="139">
        <f t="shared" si="7"/>
        <v>37.357199999999999</v>
      </c>
      <c r="I52" s="76"/>
      <c r="J52" s="135">
        <v>1.2999999999999999E-3</v>
      </c>
      <c r="K52" s="18">
        <f>+K51</f>
        <v>31128.000000000004</v>
      </c>
      <c r="L52" s="139">
        <f t="shared" si="8"/>
        <v>40.4664</v>
      </c>
      <c r="M52" s="76"/>
      <c r="N52" s="137">
        <f t="shared" si="2"/>
        <v>3.1092000000000013</v>
      </c>
      <c r="O52" s="87">
        <f t="shared" si="6"/>
        <v>8.3228935787478753E-2</v>
      </c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</row>
    <row r="53" spans="1:63" x14ac:dyDescent="0.3">
      <c r="B53" s="73" t="s">
        <v>44</v>
      </c>
      <c r="C53" s="73"/>
      <c r="D53" s="7" t="s">
        <v>24</v>
      </c>
      <c r="E53" s="73"/>
      <c r="F53" s="135">
        <v>0.25</v>
      </c>
      <c r="G53" s="81">
        <v>1</v>
      </c>
      <c r="H53" s="139">
        <f t="shared" si="7"/>
        <v>0.25</v>
      </c>
      <c r="I53" s="76"/>
      <c r="J53" s="135">
        <f>+F53</f>
        <v>0.25</v>
      </c>
      <c r="K53" s="77">
        <v>1</v>
      </c>
      <c r="L53" s="139">
        <f t="shared" si="8"/>
        <v>0.25</v>
      </c>
      <c r="M53" s="76"/>
      <c r="N53" s="137">
        <f t="shared" si="2"/>
        <v>0</v>
      </c>
      <c r="O53" s="87">
        <f t="shared" si="6"/>
        <v>0</v>
      </c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</row>
    <row r="54" spans="1:63" x14ac:dyDescent="0.3">
      <c r="B54" s="73" t="s">
        <v>45</v>
      </c>
      <c r="C54" s="73"/>
      <c r="D54" s="7" t="s">
        <v>27</v>
      </c>
      <c r="E54" s="73"/>
      <c r="F54" s="135">
        <v>7.0000000000000001E-3</v>
      </c>
      <c r="G54" s="84">
        <f>F19</f>
        <v>30000</v>
      </c>
      <c r="H54" s="139">
        <f t="shared" si="7"/>
        <v>210</v>
      </c>
      <c r="I54" s="76"/>
      <c r="J54" s="135">
        <f>+F54</f>
        <v>7.0000000000000001E-3</v>
      </c>
      <c r="K54" s="77">
        <f>F19</f>
        <v>30000</v>
      </c>
      <c r="L54" s="139">
        <f t="shared" si="8"/>
        <v>210</v>
      </c>
      <c r="M54" s="76"/>
      <c r="N54" s="137">
        <f t="shared" si="2"/>
        <v>0</v>
      </c>
      <c r="O54" s="87">
        <f t="shared" si="6"/>
        <v>0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</row>
    <row r="55" spans="1:63" x14ac:dyDescent="0.3">
      <c r="B55" s="80" t="s">
        <v>46</v>
      </c>
      <c r="C55" s="73"/>
      <c r="D55" s="7" t="s">
        <v>27</v>
      </c>
      <c r="E55" s="73"/>
      <c r="F55" s="138">
        <v>6.7000000000000004E-2</v>
      </c>
      <c r="G55" s="27">
        <f>0.64*$F19</f>
        <v>19200</v>
      </c>
      <c r="H55" s="139">
        <f t="shared" si="7"/>
        <v>1286.4000000000001</v>
      </c>
      <c r="I55" s="76"/>
      <c r="J55" s="138">
        <v>6.7000000000000004E-2</v>
      </c>
      <c r="K55" s="28">
        <f>G55</f>
        <v>19200</v>
      </c>
      <c r="L55" s="139">
        <f t="shared" si="8"/>
        <v>1286.4000000000001</v>
      </c>
      <c r="M55" s="76"/>
      <c r="N55" s="137">
        <f t="shared" si="2"/>
        <v>0</v>
      </c>
      <c r="O55" s="87">
        <f t="shared" si="6"/>
        <v>0</v>
      </c>
      <c r="Q55" s="126"/>
      <c r="R55" s="126"/>
      <c r="S55" s="127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</row>
    <row r="56" spans="1:63" x14ac:dyDescent="0.3">
      <c r="B56" s="80" t="s">
        <v>47</v>
      </c>
      <c r="C56" s="73"/>
      <c r="D56" s="7" t="s">
        <v>27</v>
      </c>
      <c r="E56" s="73"/>
      <c r="F56" s="138">
        <v>0.104</v>
      </c>
      <c r="G56" s="27">
        <f>0.18*$F19</f>
        <v>5400</v>
      </c>
      <c r="H56" s="139">
        <f t="shared" si="7"/>
        <v>561.6</v>
      </c>
      <c r="I56" s="76"/>
      <c r="J56" s="138">
        <v>0.104</v>
      </c>
      <c r="K56" s="28">
        <f>G56</f>
        <v>5400</v>
      </c>
      <c r="L56" s="139">
        <f t="shared" si="8"/>
        <v>561.6</v>
      </c>
      <c r="M56" s="76"/>
      <c r="N56" s="137">
        <f t="shared" si="2"/>
        <v>0</v>
      </c>
      <c r="O56" s="87">
        <f t="shared" si="6"/>
        <v>0</v>
      </c>
      <c r="Q56" s="126"/>
      <c r="R56" s="126"/>
      <c r="S56" s="127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</row>
    <row r="57" spans="1:63" x14ac:dyDescent="0.3">
      <c r="B57" s="64" t="s">
        <v>48</v>
      </c>
      <c r="C57" s="73"/>
      <c r="D57" s="7" t="s">
        <v>27</v>
      </c>
      <c r="E57" s="73"/>
      <c r="F57" s="138">
        <v>0.124</v>
      </c>
      <c r="G57" s="27">
        <f>0.18*$F19</f>
        <v>5400</v>
      </c>
      <c r="H57" s="139">
        <f t="shared" si="7"/>
        <v>669.6</v>
      </c>
      <c r="I57" s="76"/>
      <c r="J57" s="138">
        <v>0.124</v>
      </c>
      <c r="K57" s="28">
        <f>G57</f>
        <v>5400</v>
      </c>
      <c r="L57" s="139">
        <f t="shared" si="8"/>
        <v>669.6</v>
      </c>
      <c r="M57" s="76"/>
      <c r="N57" s="137">
        <f t="shared" si="2"/>
        <v>0</v>
      </c>
      <c r="O57" s="87">
        <f t="shared" si="6"/>
        <v>0</v>
      </c>
      <c r="Q57" s="126"/>
      <c r="R57" s="126"/>
      <c r="S57" s="127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</row>
    <row r="58" spans="1:63" s="92" customFormat="1" x14ac:dyDescent="0.25">
      <c r="B58" s="89" t="s">
        <v>49</v>
      </c>
      <c r="C58" s="90"/>
      <c r="D58" s="29" t="s">
        <v>27</v>
      </c>
      <c r="E58" s="90"/>
      <c r="F58" s="138">
        <v>7.4999999999999997E-2</v>
      </c>
      <c r="G58" s="30">
        <f>IF(AND($T$1=1, F19&gt;=750), 750, IF(AND($T$1=1, AND(F19&lt;750, F19&gt;=0)), F19, IF(AND($T$1=2, F19&gt;=750), 750, IF(AND($T$1=2, AND(F19&lt;750, F19&gt;=0)), F19))))</f>
        <v>750</v>
      </c>
      <c r="H58" s="139">
        <f t="shared" si="7"/>
        <v>56.25</v>
      </c>
      <c r="I58" s="91"/>
      <c r="J58" s="138">
        <v>7.4999999999999997E-2</v>
      </c>
      <c r="K58" s="31">
        <f>G58</f>
        <v>750</v>
      </c>
      <c r="L58" s="139">
        <f t="shared" si="8"/>
        <v>56.25</v>
      </c>
      <c r="M58" s="91"/>
      <c r="N58" s="140">
        <f t="shared" si="2"/>
        <v>0</v>
      </c>
      <c r="O58" s="87">
        <f t="shared" si="6"/>
        <v>0</v>
      </c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</row>
    <row r="59" spans="1:63" s="92" customFormat="1" ht="15" thickBot="1" x14ac:dyDescent="0.3">
      <c r="B59" s="89" t="s">
        <v>50</v>
      </c>
      <c r="C59" s="90"/>
      <c r="D59" s="29" t="s">
        <v>27</v>
      </c>
      <c r="E59" s="90"/>
      <c r="F59" s="138">
        <v>8.7999999999999995E-2</v>
      </c>
      <c r="G59" s="30">
        <f>IF(AND($T$1=1, F19&gt;=750), F19-750, IF(AND($T$1=1, AND(F19&lt;750, F19&gt;=0)), 0, IF(AND($T$1=2, F19&gt;=750), F19-750, IF(AND($T$1=2, AND(F19&lt;750, F19&gt;=0)), 0))))</f>
        <v>29250</v>
      </c>
      <c r="H59" s="139">
        <f t="shared" si="7"/>
        <v>2574</v>
      </c>
      <c r="I59" s="91"/>
      <c r="J59" s="138">
        <v>8.7999999999999995E-2</v>
      </c>
      <c r="K59" s="31">
        <f>G59</f>
        <v>29250</v>
      </c>
      <c r="L59" s="139">
        <f t="shared" si="8"/>
        <v>2574</v>
      </c>
      <c r="M59" s="91"/>
      <c r="N59" s="140">
        <f t="shared" si="2"/>
        <v>0</v>
      </c>
      <c r="O59" s="87">
        <f t="shared" si="6"/>
        <v>0</v>
      </c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</row>
    <row r="60" spans="1:63" s="4" customFormat="1" ht="15" thickBot="1" x14ac:dyDescent="0.35">
      <c r="A60" s="60"/>
      <c r="B60" s="32"/>
      <c r="C60" s="33"/>
      <c r="D60" s="124"/>
      <c r="E60" s="33"/>
      <c r="F60" s="35"/>
      <c r="G60" s="36"/>
      <c r="H60" s="122"/>
      <c r="I60" s="123"/>
      <c r="J60" s="35"/>
      <c r="K60" s="39"/>
      <c r="L60" s="122"/>
      <c r="M60" s="123"/>
      <c r="N60" s="40"/>
      <c r="O60" s="41"/>
      <c r="P60" s="60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</row>
    <row r="61" spans="1:63" x14ac:dyDescent="0.3">
      <c r="B61" s="93" t="s">
        <v>51</v>
      </c>
      <c r="C61" s="73"/>
      <c r="D61" s="73"/>
      <c r="E61" s="73"/>
      <c r="F61" s="94"/>
      <c r="G61" s="95"/>
      <c r="H61" s="141">
        <f>SUM(H51:H57,H50)</f>
        <v>4022.043095</v>
      </c>
      <c r="I61" s="96"/>
      <c r="J61" s="97"/>
      <c r="K61" s="97"/>
      <c r="L61" s="144">
        <f>SUM(L51:L57,L50)</f>
        <v>4032.9028240000002</v>
      </c>
      <c r="M61" s="145"/>
      <c r="N61" s="146">
        <f>L61-H61</f>
        <v>10.859729000000243</v>
      </c>
      <c r="O61" s="98">
        <f>IF((H61)=0,"",(N61/H61))</f>
        <v>2.7000528695230808E-3</v>
      </c>
      <c r="Q61" s="126"/>
      <c r="R61" s="126"/>
      <c r="S61" s="127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</row>
    <row r="62" spans="1:63" x14ac:dyDescent="0.3">
      <c r="B62" s="99" t="s">
        <v>52</v>
      </c>
      <c r="C62" s="73"/>
      <c r="D62" s="73"/>
      <c r="E62" s="73"/>
      <c r="F62" s="100">
        <v>0.13</v>
      </c>
      <c r="G62" s="101"/>
      <c r="H62" s="142">
        <f>H61*F62</f>
        <v>522.86560235000002</v>
      </c>
      <c r="I62" s="102"/>
      <c r="J62" s="103">
        <v>0.13</v>
      </c>
      <c r="K62" s="102"/>
      <c r="L62" s="147">
        <f>L61*J62</f>
        <v>524.27736712000001</v>
      </c>
      <c r="M62" s="148"/>
      <c r="N62" s="149">
        <f>L62-H62</f>
        <v>1.4117647699999907</v>
      </c>
      <c r="O62" s="104">
        <f>IF((H62)=0,"",(N62/H62))</f>
        <v>2.7000528695230023E-3</v>
      </c>
      <c r="Q62" s="126"/>
      <c r="R62" s="126"/>
      <c r="S62" s="127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</row>
    <row r="63" spans="1:63" x14ac:dyDescent="0.3">
      <c r="B63" s="105" t="s">
        <v>53</v>
      </c>
      <c r="C63" s="73"/>
      <c r="D63" s="73"/>
      <c r="E63" s="73"/>
      <c r="F63" s="106"/>
      <c r="G63" s="101"/>
      <c r="H63" s="142">
        <f>H61+H62</f>
        <v>4544.9086973499998</v>
      </c>
      <c r="I63" s="102"/>
      <c r="J63" s="102"/>
      <c r="K63" s="102"/>
      <c r="L63" s="147">
        <f>L61+L62</f>
        <v>4557.18019112</v>
      </c>
      <c r="M63" s="148"/>
      <c r="N63" s="149">
        <f>L63-H63</f>
        <v>12.271493770000234</v>
      </c>
      <c r="O63" s="104">
        <f>IF((H63)=0,"",(N63/H63))</f>
        <v>2.7000528695230721E-3</v>
      </c>
      <c r="Q63" s="126"/>
      <c r="R63" s="126"/>
      <c r="S63" s="127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</row>
    <row r="64" spans="1:63" ht="14.4" customHeight="1" x14ac:dyDescent="0.3">
      <c r="B64" s="172" t="s">
        <v>54</v>
      </c>
      <c r="C64" s="172"/>
      <c r="D64" s="172"/>
      <c r="E64" s="73"/>
      <c r="F64" s="106"/>
      <c r="G64" s="101"/>
      <c r="H64" s="143">
        <v>0</v>
      </c>
      <c r="I64" s="102"/>
      <c r="J64" s="102"/>
      <c r="K64" s="102"/>
      <c r="L64" s="150">
        <v>0</v>
      </c>
      <c r="M64" s="148"/>
      <c r="N64" s="151">
        <f>L64-H64</f>
        <v>0</v>
      </c>
      <c r="O64" s="107" t="str">
        <f>IF((H64)=0,"",(N64/H64))</f>
        <v/>
      </c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</row>
    <row r="65" spans="1:63" s="4" customFormat="1" ht="15" thickBot="1" x14ac:dyDescent="0.35">
      <c r="A65" s="60"/>
      <c r="B65" s="173" t="s">
        <v>55</v>
      </c>
      <c r="C65" s="173"/>
      <c r="D65" s="173"/>
      <c r="E65" s="42"/>
      <c r="F65" s="43"/>
      <c r="G65" s="44"/>
      <c r="H65" s="45">
        <f>H63+H64</f>
        <v>4544.9086973499998</v>
      </c>
      <c r="I65" s="46"/>
      <c r="J65" s="46"/>
      <c r="K65" s="46"/>
      <c r="L65" s="47">
        <f>L63+L64</f>
        <v>4557.18019112</v>
      </c>
      <c r="M65" s="48"/>
      <c r="N65" s="49">
        <f>L65-H65</f>
        <v>12.271493770000234</v>
      </c>
      <c r="O65" s="50">
        <f>IF((H65)=0,"",(N65/H65))</f>
        <v>2.7000528695230721E-3</v>
      </c>
      <c r="P65" s="60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</row>
    <row r="66" spans="1:63" s="4" customFormat="1" ht="15" thickBot="1" x14ac:dyDescent="0.35">
      <c r="A66" s="60"/>
      <c r="B66" s="32"/>
      <c r="C66" s="33"/>
      <c r="D66" s="34"/>
      <c r="E66" s="33"/>
      <c r="F66" s="35"/>
      <c r="G66" s="36"/>
      <c r="H66" s="37"/>
      <c r="I66" s="38"/>
      <c r="J66" s="35"/>
      <c r="K66" s="39"/>
      <c r="L66" s="37"/>
      <c r="M66" s="123"/>
      <c r="N66" s="40"/>
      <c r="O66" s="41"/>
      <c r="P66" s="60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</row>
    <row r="67" spans="1:63" s="92" customFormat="1" ht="13.2" x14ac:dyDescent="0.25">
      <c r="B67" s="108" t="s">
        <v>56</v>
      </c>
      <c r="C67" s="90"/>
      <c r="D67" s="90"/>
      <c r="E67" s="90"/>
      <c r="F67" s="109"/>
      <c r="G67" s="110"/>
      <c r="H67" s="152">
        <f>SUM(H58:H59,H50,H51:H54)</f>
        <v>4134.6930950000005</v>
      </c>
      <c r="I67" s="111"/>
      <c r="J67" s="112"/>
      <c r="K67" s="112"/>
      <c r="L67" s="155">
        <f>SUM(L58:L59,L50,L51:L54)</f>
        <v>4145.5528240000003</v>
      </c>
      <c r="M67" s="156"/>
      <c r="N67" s="157">
        <f>L67-H67</f>
        <v>10.859728999999788</v>
      </c>
      <c r="O67" s="98">
        <f>IF((H67)=0,"",(N67/H67))</f>
        <v>2.6264897419187496E-3</v>
      </c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63" s="92" customFormat="1" ht="13.2" x14ac:dyDescent="0.25">
      <c r="B68" s="113" t="s">
        <v>52</v>
      </c>
      <c r="C68" s="90"/>
      <c r="D68" s="90"/>
      <c r="E68" s="90"/>
      <c r="F68" s="114">
        <v>0.13</v>
      </c>
      <c r="G68" s="110"/>
      <c r="H68" s="153">
        <f>H67*F68</f>
        <v>537.51010235000012</v>
      </c>
      <c r="I68" s="115"/>
      <c r="J68" s="116">
        <v>0.13</v>
      </c>
      <c r="K68" s="117"/>
      <c r="L68" s="158">
        <f>L67*J68</f>
        <v>538.92186712000012</v>
      </c>
      <c r="M68" s="159"/>
      <c r="N68" s="160">
        <f>L68-H68</f>
        <v>1.4117647699999907</v>
      </c>
      <c r="O68" s="104">
        <f>IF((H68)=0,"",(N68/H68))</f>
        <v>2.6264897419187834E-3</v>
      </c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63" s="92" customFormat="1" ht="13.2" x14ac:dyDescent="0.25">
      <c r="B69" s="118" t="s">
        <v>53</v>
      </c>
      <c r="C69" s="90"/>
      <c r="D69" s="90"/>
      <c r="E69" s="90"/>
      <c r="F69" s="119"/>
      <c r="G69" s="120"/>
      <c r="H69" s="153">
        <f>H67+H68</f>
        <v>4672.2031973500007</v>
      </c>
      <c r="I69" s="115"/>
      <c r="J69" s="115"/>
      <c r="K69" s="115"/>
      <c r="L69" s="158">
        <f>L67+L68</f>
        <v>4684.47469112</v>
      </c>
      <c r="M69" s="159"/>
      <c r="N69" s="160">
        <f>L69-H69</f>
        <v>12.271493769999324</v>
      </c>
      <c r="O69" s="104">
        <f>IF((H69)=0,"",(N69/H69))</f>
        <v>2.6264897419186564E-3</v>
      </c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63" s="92" customFormat="1" ht="13.2" customHeight="1" x14ac:dyDescent="0.25">
      <c r="B70" s="174" t="s">
        <v>54</v>
      </c>
      <c r="C70" s="174"/>
      <c r="D70" s="174"/>
      <c r="E70" s="90"/>
      <c r="F70" s="119"/>
      <c r="G70" s="120"/>
      <c r="H70" s="154">
        <v>0</v>
      </c>
      <c r="I70" s="115"/>
      <c r="J70" s="115"/>
      <c r="K70" s="115"/>
      <c r="L70" s="161">
        <v>0</v>
      </c>
      <c r="M70" s="159"/>
      <c r="N70" s="162">
        <f>L70-H70</f>
        <v>0</v>
      </c>
      <c r="O70" s="107" t="str">
        <f>IF((H70)=0,"",(N70/H70))</f>
        <v/>
      </c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63" s="4" customFormat="1" ht="15" thickBot="1" x14ac:dyDescent="0.35">
      <c r="A71" s="60"/>
      <c r="B71" s="173" t="s">
        <v>57</v>
      </c>
      <c r="C71" s="173"/>
      <c r="D71" s="173"/>
      <c r="E71" s="42"/>
      <c r="F71" s="43"/>
      <c r="G71" s="44"/>
      <c r="H71" s="45">
        <f>SUM(H69:H70)</f>
        <v>4672.2031973500007</v>
      </c>
      <c r="I71" s="46"/>
      <c r="J71" s="46"/>
      <c r="K71" s="46"/>
      <c r="L71" s="47">
        <f>SUM(L69:L70)</f>
        <v>4684.47469112</v>
      </c>
      <c r="M71" s="48"/>
      <c r="N71" s="49">
        <f>L71-H71</f>
        <v>12.271493769999324</v>
      </c>
      <c r="O71" s="50">
        <f>IF((H71)=0,"",(N71/H71))</f>
        <v>2.6264897419186564E-3</v>
      </c>
      <c r="P71" s="60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</row>
    <row r="72" spans="1:63" s="4" customFormat="1" ht="15" thickBot="1" x14ac:dyDescent="0.35">
      <c r="A72" s="60"/>
      <c r="B72" s="32"/>
      <c r="C72" s="33"/>
      <c r="D72" s="34"/>
      <c r="E72" s="33"/>
      <c r="F72" s="35"/>
      <c r="G72" s="36"/>
      <c r="H72" s="122"/>
      <c r="I72" s="123"/>
      <c r="J72" s="35"/>
      <c r="K72" s="39"/>
      <c r="L72" s="37"/>
      <c r="M72" s="123"/>
      <c r="N72" s="40"/>
      <c r="O72" s="41"/>
      <c r="P72" s="60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</row>
    <row r="73" spans="1:63" x14ac:dyDescent="0.3">
      <c r="L73" s="88"/>
    </row>
    <row r="74" spans="1:63" x14ac:dyDescent="0.3">
      <c r="B74" s="65" t="s">
        <v>58</v>
      </c>
      <c r="F74" s="51">
        <v>3.7699999999999997E-2</v>
      </c>
      <c r="J74" s="51">
        <f>+Residential!$J$74</f>
        <v>3.7600000000000001E-2</v>
      </c>
    </row>
    <row r="76" spans="1:63" x14ac:dyDescent="0.3">
      <c r="L76" s="56"/>
      <c r="M76" s="56"/>
      <c r="N76" s="56"/>
      <c r="O76" s="56"/>
      <c r="P76" s="56"/>
    </row>
    <row r="77" spans="1:63" ht="16.2" x14ac:dyDescent="0.3">
      <c r="A77" s="121" t="s">
        <v>59</v>
      </c>
    </row>
    <row r="79" spans="1:63" x14ac:dyDescent="0.3">
      <c r="A79" s="60" t="s">
        <v>60</v>
      </c>
    </row>
    <row r="80" spans="1:63" x14ac:dyDescent="0.3">
      <c r="A80" s="60" t="s">
        <v>61</v>
      </c>
    </row>
    <row r="82" spans="2:29" x14ac:dyDescent="0.3">
      <c r="B82" s="60" t="s">
        <v>62</v>
      </c>
    </row>
    <row r="85" spans="2:29" ht="18.75" customHeight="1" x14ac:dyDescent="0.3">
      <c r="B85" s="175" t="s">
        <v>6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56"/>
    </row>
    <row r="86" spans="2:29" ht="18.75" customHeight="1" x14ac:dyDescent="0.3">
      <c r="B86" s="175" t="s">
        <v>7</v>
      </c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56"/>
    </row>
    <row r="87" spans="2:29" ht="7.5" customHeight="1" x14ac:dyDescent="0.3">
      <c r="L87" s="56"/>
      <c r="M87" s="56"/>
      <c r="N87" s="56"/>
      <c r="O87" s="56"/>
      <c r="P87" s="56"/>
    </row>
    <row r="88" spans="2:29" ht="7.5" customHeight="1" x14ac:dyDescent="0.3">
      <c r="L88" s="56"/>
      <c r="M88" s="56"/>
      <c r="N88" s="56"/>
      <c r="O88" s="56"/>
      <c r="P88" s="56"/>
    </row>
    <row r="89" spans="2:29" ht="15.6" x14ac:dyDescent="0.3">
      <c r="B89" s="61" t="s">
        <v>8</v>
      </c>
      <c r="D89" s="185" t="s">
        <v>77</v>
      </c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</row>
    <row r="90" spans="2:29" ht="7.5" customHeight="1" x14ac:dyDescent="0.3">
      <c r="B90" s="62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</row>
    <row r="91" spans="2:29" ht="15.6" x14ac:dyDescent="0.3">
      <c r="B91" s="61" t="s">
        <v>9</v>
      </c>
      <c r="D91" s="5" t="s">
        <v>63</v>
      </c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</row>
    <row r="92" spans="2:29" ht="15.6" x14ac:dyDescent="0.3">
      <c r="B92" s="62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</row>
    <row r="93" spans="2:29" x14ac:dyDescent="0.3">
      <c r="B93" s="64"/>
      <c r="D93" s="65" t="s">
        <v>11</v>
      </c>
      <c r="E93" s="65"/>
      <c r="F93" s="6">
        <v>160</v>
      </c>
      <c r="G93" s="65" t="s">
        <v>64</v>
      </c>
    </row>
    <row r="94" spans="2:29" x14ac:dyDescent="0.3">
      <c r="B94" s="64"/>
      <c r="F94" s="6">
        <v>64000</v>
      </c>
      <c r="G94" s="65" t="s">
        <v>12</v>
      </c>
    </row>
    <row r="95" spans="2:29" x14ac:dyDescent="0.3">
      <c r="B95" s="64"/>
      <c r="D95" s="66"/>
      <c r="E95" s="66"/>
      <c r="F95" s="176" t="s">
        <v>13</v>
      </c>
      <c r="G95" s="177"/>
      <c r="H95" s="178"/>
      <c r="J95" s="176" t="s">
        <v>14</v>
      </c>
      <c r="K95" s="177"/>
      <c r="L95" s="178"/>
      <c r="N95" s="176" t="s">
        <v>15</v>
      </c>
      <c r="O95" s="178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</row>
    <row r="96" spans="2:29" x14ac:dyDescent="0.3">
      <c r="B96" s="64"/>
      <c r="D96" s="179" t="s">
        <v>16</v>
      </c>
      <c r="E96" s="67"/>
      <c r="F96" s="68" t="s">
        <v>17</v>
      </c>
      <c r="G96" s="68" t="s">
        <v>18</v>
      </c>
      <c r="H96" s="69" t="s">
        <v>19</v>
      </c>
      <c r="J96" s="68" t="s">
        <v>17</v>
      </c>
      <c r="K96" s="70" t="s">
        <v>18</v>
      </c>
      <c r="L96" s="69" t="s">
        <v>19</v>
      </c>
      <c r="N96" s="181" t="s">
        <v>20</v>
      </c>
      <c r="O96" s="183" t="s">
        <v>21</v>
      </c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</row>
    <row r="97" spans="2:29" x14ac:dyDescent="0.3">
      <c r="B97" s="64"/>
      <c r="D97" s="180"/>
      <c r="E97" s="67"/>
      <c r="F97" s="71" t="s">
        <v>22</v>
      </c>
      <c r="G97" s="71"/>
      <c r="H97" s="72" t="s">
        <v>22</v>
      </c>
      <c r="J97" s="71" t="s">
        <v>22</v>
      </c>
      <c r="K97" s="72"/>
      <c r="L97" s="72" t="s">
        <v>22</v>
      </c>
      <c r="N97" s="182"/>
      <c r="O97" s="184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</row>
    <row r="98" spans="2:29" x14ac:dyDescent="0.3">
      <c r="B98" s="73" t="s">
        <v>23</v>
      </c>
      <c r="C98" s="73"/>
      <c r="D98" s="7" t="s">
        <v>24</v>
      </c>
      <c r="E98" s="73"/>
      <c r="F98" s="129">
        <v>118.45</v>
      </c>
      <c r="G98" s="74">
        <v>1</v>
      </c>
      <c r="H98" s="75">
        <f t="shared" ref="H98:H113" si="9">G98*F98</f>
        <v>118.45</v>
      </c>
      <c r="I98" s="76"/>
      <c r="J98" s="129">
        <v>118.45</v>
      </c>
      <c r="K98" s="77">
        <v>1</v>
      </c>
      <c r="L98" s="75">
        <f t="shared" ref="L98:L113" si="10">K98*J98</f>
        <v>118.45</v>
      </c>
      <c r="M98" s="76"/>
      <c r="N98" s="78">
        <f t="shared" ref="N98:N134" si="11">L98-H98</f>
        <v>0</v>
      </c>
      <c r="O98" s="79">
        <f t="shared" ref="O98:O120" si="12">IF((H98)=0,"",(N98/H98))</f>
        <v>0</v>
      </c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</row>
    <row r="99" spans="2:29" x14ac:dyDescent="0.3">
      <c r="B99" s="73" t="s">
        <v>25</v>
      </c>
      <c r="C99" s="73"/>
      <c r="D99" s="7" t="s">
        <v>24</v>
      </c>
      <c r="E99" s="73"/>
      <c r="F99" s="133"/>
      <c r="G99" s="74">
        <v>1</v>
      </c>
      <c r="H99" s="136">
        <f t="shared" si="9"/>
        <v>0</v>
      </c>
      <c r="I99" s="76"/>
      <c r="J99" s="130"/>
      <c r="K99" s="77">
        <v>1</v>
      </c>
      <c r="L99" s="136">
        <f t="shared" si="10"/>
        <v>0</v>
      </c>
      <c r="M99" s="76"/>
      <c r="N99" s="137">
        <f t="shared" si="11"/>
        <v>0</v>
      </c>
      <c r="O99" s="79" t="str">
        <f t="shared" si="12"/>
        <v/>
      </c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</row>
    <row r="100" spans="2:29" x14ac:dyDescent="0.3">
      <c r="B100" s="9"/>
      <c r="C100" s="73"/>
      <c r="D100" s="7"/>
      <c r="E100" s="73"/>
      <c r="F100" s="134"/>
      <c r="G100" s="74">
        <v>1</v>
      </c>
      <c r="H100" s="136">
        <f t="shared" si="9"/>
        <v>0</v>
      </c>
      <c r="I100" s="76"/>
      <c r="J100" s="131"/>
      <c r="K100" s="77">
        <v>1</v>
      </c>
      <c r="L100" s="136">
        <f t="shared" si="10"/>
        <v>0</v>
      </c>
      <c r="M100" s="76"/>
      <c r="N100" s="137">
        <f t="shared" si="11"/>
        <v>0</v>
      </c>
      <c r="O100" s="79" t="str">
        <f t="shared" si="12"/>
        <v/>
      </c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</row>
    <row r="101" spans="2:29" x14ac:dyDescent="0.3">
      <c r="B101" s="9"/>
      <c r="C101" s="73"/>
      <c r="D101" s="7"/>
      <c r="E101" s="73"/>
      <c r="F101" s="134"/>
      <c r="G101" s="74">
        <v>1</v>
      </c>
      <c r="H101" s="136">
        <f t="shared" si="9"/>
        <v>0</v>
      </c>
      <c r="I101" s="76"/>
      <c r="J101" s="131"/>
      <c r="K101" s="77">
        <v>1</v>
      </c>
      <c r="L101" s="136">
        <f t="shared" si="10"/>
        <v>0</v>
      </c>
      <c r="M101" s="76"/>
      <c r="N101" s="137">
        <f t="shared" si="11"/>
        <v>0</v>
      </c>
      <c r="O101" s="79" t="str">
        <f t="shared" si="12"/>
        <v/>
      </c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</row>
    <row r="102" spans="2:29" x14ac:dyDescent="0.3">
      <c r="B102" s="10"/>
      <c r="C102" s="73"/>
      <c r="D102" s="7"/>
      <c r="E102" s="73"/>
      <c r="F102" s="134"/>
      <c r="G102" s="74">
        <v>1</v>
      </c>
      <c r="H102" s="136">
        <f t="shared" si="9"/>
        <v>0</v>
      </c>
      <c r="I102" s="76"/>
      <c r="J102" s="131"/>
      <c r="K102" s="77">
        <v>1</v>
      </c>
      <c r="L102" s="136">
        <f t="shared" si="10"/>
        <v>0</v>
      </c>
      <c r="M102" s="76"/>
      <c r="N102" s="137">
        <f t="shared" si="11"/>
        <v>0</v>
      </c>
      <c r="O102" s="79" t="str">
        <f t="shared" si="12"/>
        <v/>
      </c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</row>
    <row r="103" spans="2:29" x14ac:dyDescent="0.3">
      <c r="B103" s="10"/>
      <c r="C103" s="73"/>
      <c r="D103" s="7"/>
      <c r="E103" s="73"/>
      <c r="F103" s="134"/>
      <c r="G103" s="74">
        <v>1</v>
      </c>
      <c r="H103" s="136">
        <f t="shared" si="9"/>
        <v>0</v>
      </c>
      <c r="I103" s="76"/>
      <c r="J103" s="131"/>
      <c r="K103" s="77">
        <v>1</v>
      </c>
      <c r="L103" s="136">
        <f t="shared" si="10"/>
        <v>0</v>
      </c>
      <c r="M103" s="76"/>
      <c r="N103" s="137">
        <f t="shared" si="11"/>
        <v>0</v>
      </c>
      <c r="O103" s="79" t="str">
        <f t="shared" si="12"/>
        <v/>
      </c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</row>
    <row r="104" spans="2:29" x14ac:dyDescent="0.3">
      <c r="B104" s="73" t="s">
        <v>26</v>
      </c>
      <c r="C104" s="73"/>
      <c r="D104" s="7" t="s">
        <v>67</v>
      </c>
      <c r="E104" s="73"/>
      <c r="F104" s="135">
        <v>3.6776</v>
      </c>
      <c r="G104" s="74">
        <f>$F93</f>
        <v>160</v>
      </c>
      <c r="H104" s="136">
        <f t="shared" si="9"/>
        <v>588.41599999999994</v>
      </c>
      <c r="I104" s="76"/>
      <c r="J104" s="132">
        <v>4.6319999999999997</v>
      </c>
      <c r="K104" s="74">
        <f>$F93</f>
        <v>160</v>
      </c>
      <c r="L104" s="136">
        <f t="shared" si="10"/>
        <v>741.11999999999989</v>
      </c>
      <c r="M104" s="76"/>
      <c r="N104" s="137">
        <f t="shared" si="11"/>
        <v>152.70399999999995</v>
      </c>
      <c r="O104" s="79">
        <f t="shared" si="12"/>
        <v>0.25951707635414395</v>
      </c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</row>
    <row r="105" spans="2:29" x14ac:dyDescent="0.3">
      <c r="B105" s="73" t="s">
        <v>28</v>
      </c>
      <c r="C105" s="73"/>
      <c r="D105" s="7" t="s">
        <v>24</v>
      </c>
      <c r="E105" s="73"/>
      <c r="F105" s="135"/>
      <c r="G105" s="74">
        <v>1</v>
      </c>
      <c r="H105" s="136">
        <f t="shared" si="9"/>
        <v>0</v>
      </c>
      <c r="I105" s="76"/>
      <c r="J105" s="132"/>
      <c r="K105" s="74">
        <v>1</v>
      </c>
      <c r="L105" s="136">
        <f t="shared" si="10"/>
        <v>0</v>
      </c>
      <c r="M105" s="76"/>
      <c r="N105" s="137">
        <f t="shared" si="11"/>
        <v>0</v>
      </c>
      <c r="O105" s="79" t="str">
        <f t="shared" si="12"/>
        <v/>
      </c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</row>
    <row r="106" spans="2:29" x14ac:dyDescent="0.3">
      <c r="B106" s="73" t="s">
        <v>29</v>
      </c>
      <c r="C106" s="73"/>
      <c r="D106" s="7" t="s">
        <v>67</v>
      </c>
      <c r="E106" s="73"/>
      <c r="F106" s="135">
        <v>3.3E-3</v>
      </c>
      <c r="G106" s="74">
        <f>$F93</f>
        <v>160</v>
      </c>
      <c r="H106" s="136">
        <f t="shared" si="9"/>
        <v>0.52800000000000002</v>
      </c>
      <c r="I106" s="76"/>
      <c r="J106" s="171">
        <v>0</v>
      </c>
      <c r="K106" s="74">
        <f>$F93</f>
        <v>160</v>
      </c>
      <c r="L106" s="136">
        <f t="shared" si="10"/>
        <v>0</v>
      </c>
      <c r="M106" s="76"/>
      <c r="N106" s="137">
        <f t="shared" si="11"/>
        <v>-0.52800000000000002</v>
      </c>
      <c r="O106" s="79">
        <f t="shared" si="12"/>
        <v>-1</v>
      </c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</row>
    <row r="107" spans="2:29" x14ac:dyDescent="0.3">
      <c r="B107" s="11" t="s">
        <v>30</v>
      </c>
      <c r="C107" s="73"/>
      <c r="D107" s="7" t="s">
        <v>67</v>
      </c>
      <c r="E107" s="73"/>
      <c r="F107" s="135">
        <v>0.25109999999999999</v>
      </c>
      <c r="G107" s="74">
        <f>$F93</f>
        <v>160</v>
      </c>
      <c r="H107" s="136">
        <f t="shared" si="9"/>
        <v>40.176000000000002</v>
      </c>
      <c r="I107" s="76"/>
      <c r="J107" s="132"/>
      <c r="K107" s="74">
        <f>$F93</f>
        <v>160</v>
      </c>
      <c r="L107" s="136">
        <f t="shared" si="10"/>
        <v>0</v>
      </c>
      <c r="M107" s="76"/>
      <c r="N107" s="137">
        <f t="shared" si="11"/>
        <v>-40.176000000000002</v>
      </c>
      <c r="O107" s="79">
        <f t="shared" si="12"/>
        <v>-1</v>
      </c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</row>
    <row r="108" spans="2:29" x14ac:dyDescent="0.3">
      <c r="B108" s="11" t="s">
        <v>31</v>
      </c>
      <c r="C108" s="73"/>
      <c r="D108" s="7" t="s">
        <v>67</v>
      </c>
      <c r="E108" s="73"/>
      <c r="F108" s="135">
        <v>-4.65E-2</v>
      </c>
      <c r="G108" s="74">
        <f>$F93</f>
        <v>160</v>
      </c>
      <c r="H108" s="136">
        <f t="shared" si="9"/>
        <v>-7.4399999999999995</v>
      </c>
      <c r="I108" s="76"/>
      <c r="J108" s="132"/>
      <c r="K108" s="74">
        <f>$F93</f>
        <v>160</v>
      </c>
      <c r="L108" s="136">
        <f t="shared" si="10"/>
        <v>0</v>
      </c>
      <c r="M108" s="76"/>
      <c r="N108" s="137">
        <f t="shared" si="11"/>
        <v>7.4399999999999995</v>
      </c>
      <c r="O108" s="79">
        <f t="shared" si="12"/>
        <v>-1</v>
      </c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</row>
    <row r="109" spans="2:29" x14ac:dyDescent="0.3">
      <c r="B109" s="11" t="s">
        <v>32</v>
      </c>
      <c r="C109" s="73"/>
      <c r="D109" s="7" t="s">
        <v>24</v>
      </c>
      <c r="E109" s="73"/>
      <c r="F109" s="135"/>
      <c r="G109" s="74">
        <v>1</v>
      </c>
      <c r="H109" s="136">
        <f t="shared" si="9"/>
        <v>0</v>
      </c>
      <c r="I109" s="76"/>
      <c r="J109" s="132"/>
      <c r="K109" s="74">
        <v>1</v>
      </c>
      <c r="L109" s="136">
        <f t="shared" si="10"/>
        <v>0</v>
      </c>
      <c r="M109" s="76"/>
      <c r="N109" s="137">
        <f t="shared" si="11"/>
        <v>0</v>
      </c>
      <c r="O109" s="79" t="str">
        <f t="shared" si="12"/>
        <v/>
      </c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</row>
    <row r="110" spans="2:29" x14ac:dyDescent="0.3">
      <c r="B110" s="12" t="str">
        <f>+Residential!$B$35</f>
        <v>Rate Rider for Disposition of Account 1576</v>
      </c>
      <c r="C110" s="73"/>
      <c r="D110" s="7" t="s">
        <v>67</v>
      </c>
      <c r="E110" s="73"/>
      <c r="F110" s="134"/>
      <c r="G110" s="74">
        <f>$F93</f>
        <v>160</v>
      </c>
      <c r="H110" s="136">
        <f t="shared" si="9"/>
        <v>0</v>
      </c>
      <c r="I110" s="76"/>
      <c r="J110" s="132">
        <v>-0.21049999999999999</v>
      </c>
      <c r="K110" s="74">
        <f>$F93</f>
        <v>160</v>
      </c>
      <c r="L110" s="136">
        <f t="shared" si="10"/>
        <v>-33.68</v>
      </c>
      <c r="M110" s="76"/>
      <c r="N110" s="137">
        <f t="shared" si="11"/>
        <v>-33.68</v>
      </c>
      <c r="O110" s="79" t="str">
        <f t="shared" si="12"/>
        <v/>
      </c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</row>
    <row r="111" spans="2:29" x14ac:dyDescent="0.3">
      <c r="B111" s="12" t="str">
        <f>+Residential!$B$36</f>
        <v xml:space="preserve">Rate Rider for Disposition of CGAAP CWIP differential </v>
      </c>
      <c r="C111" s="73"/>
      <c r="D111" s="7" t="s">
        <v>67</v>
      </c>
      <c r="E111" s="73"/>
      <c r="F111" s="134"/>
      <c r="G111" s="74">
        <f>$F93</f>
        <v>160</v>
      </c>
      <c r="H111" s="136">
        <f t="shared" si="9"/>
        <v>0</v>
      </c>
      <c r="I111" s="76"/>
      <c r="J111" s="132">
        <v>0.1138</v>
      </c>
      <c r="K111" s="74">
        <f>$F93</f>
        <v>160</v>
      </c>
      <c r="L111" s="136">
        <f t="shared" si="10"/>
        <v>18.207999999999998</v>
      </c>
      <c r="M111" s="76"/>
      <c r="N111" s="137">
        <f t="shared" si="11"/>
        <v>18.207999999999998</v>
      </c>
      <c r="O111" s="79" t="str">
        <f t="shared" si="12"/>
        <v/>
      </c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</row>
    <row r="112" spans="2:29" x14ac:dyDescent="0.3">
      <c r="B112" s="12" t="str">
        <f>+Residential!$B$37</f>
        <v xml:space="preserve">Rate Rider for Disposition of Incremental Capital Expenditures </v>
      </c>
      <c r="C112" s="73"/>
      <c r="D112" s="7" t="s">
        <v>67</v>
      </c>
      <c r="E112" s="73"/>
      <c r="F112" s="131"/>
      <c r="G112" s="74">
        <f>$F93</f>
        <v>160</v>
      </c>
      <c r="H112" s="136">
        <f t="shared" si="9"/>
        <v>0</v>
      </c>
      <c r="I112" s="76"/>
      <c r="J112" s="132">
        <v>6.8199999999999997E-2</v>
      </c>
      <c r="K112" s="74">
        <f>$F93</f>
        <v>160</v>
      </c>
      <c r="L112" s="136">
        <f t="shared" si="10"/>
        <v>10.911999999999999</v>
      </c>
      <c r="M112" s="76"/>
      <c r="N112" s="137">
        <f t="shared" si="11"/>
        <v>10.911999999999999</v>
      </c>
      <c r="O112" s="79" t="str">
        <f t="shared" si="12"/>
        <v/>
      </c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</row>
    <row r="113" spans="1:63" x14ac:dyDescent="0.3">
      <c r="B113" s="12"/>
      <c r="C113" s="73"/>
      <c r="D113" s="7"/>
      <c r="E113" s="73"/>
      <c r="F113" s="131"/>
      <c r="G113" s="74">
        <f>$F93</f>
        <v>160</v>
      </c>
      <c r="H113" s="136">
        <f t="shared" si="9"/>
        <v>0</v>
      </c>
      <c r="I113" s="76"/>
      <c r="J113" s="131"/>
      <c r="K113" s="74">
        <f>$F93</f>
        <v>160</v>
      </c>
      <c r="L113" s="136">
        <f t="shared" si="10"/>
        <v>0</v>
      </c>
      <c r="M113" s="76"/>
      <c r="N113" s="137">
        <f t="shared" si="11"/>
        <v>0</v>
      </c>
      <c r="O113" s="79" t="str">
        <f t="shared" si="12"/>
        <v/>
      </c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</row>
    <row r="114" spans="1:63" s="4" customFormat="1" x14ac:dyDescent="0.3">
      <c r="A114" s="60"/>
      <c r="B114" s="19" t="s">
        <v>33</v>
      </c>
      <c r="C114" s="20"/>
      <c r="D114" s="20"/>
      <c r="E114" s="20"/>
      <c r="F114" s="21"/>
      <c r="G114" s="22"/>
      <c r="H114" s="23">
        <f>SUM(H98:H113)</f>
        <v>740.13</v>
      </c>
      <c r="I114" s="13"/>
      <c r="J114" s="14"/>
      <c r="K114" s="24"/>
      <c r="L114" s="23">
        <f>SUM(L98:L113)</f>
        <v>855.01</v>
      </c>
      <c r="M114" s="13"/>
      <c r="N114" s="15">
        <f t="shared" si="11"/>
        <v>114.88</v>
      </c>
      <c r="O114" s="16">
        <f t="shared" si="12"/>
        <v>0.15521597557185898</v>
      </c>
      <c r="P114" s="60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</row>
    <row r="115" spans="1:63" x14ac:dyDescent="0.3">
      <c r="B115" s="17" t="s">
        <v>34</v>
      </c>
      <c r="C115" s="73"/>
      <c r="D115" s="7" t="s">
        <v>67</v>
      </c>
      <c r="E115" s="73"/>
      <c r="F115" s="135">
        <v>9.5299999999999996E-2</v>
      </c>
      <c r="G115" s="74">
        <f>$F93</f>
        <v>160</v>
      </c>
      <c r="H115" s="136">
        <f t="shared" ref="H115:H121" si="13">G115*F115</f>
        <v>15.247999999999999</v>
      </c>
      <c r="I115" s="76"/>
      <c r="J115" s="132">
        <v>-0.52270000000000005</v>
      </c>
      <c r="K115" s="74">
        <f>$F93</f>
        <v>160</v>
      </c>
      <c r="L115" s="136">
        <f t="shared" ref="L115:L121" si="14">K115*J115</f>
        <v>-83.632000000000005</v>
      </c>
      <c r="M115" s="76"/>
      <c r="N115" s="137">
        <f t="shared" si="11"/>
        <v>-98.88000000000001</v>
      </c>
      <c r="O115" s="79">
        <f t="shared" si="12"/>
        <v>-6.4847848898216167</v>
      </c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</row>
    <row r="116" spans="1:63" x14ac:dyDescent="0.3">
      <c r="B116" s="17"/>
      <c r="C116" s="73"/>
      <c r="D116" s="7"/>
      <c r="E116" s="73"/>
      <c r="F116" s="8"/>
      <c r="G116" s="74">
        <f>$F93</f>
        <v>160</v>
      </c>
      <c r="H116" s="136">
        <f t="shared" si="13"/>
        <v>0</v>
      </c>
      <c r="I116" s="82"/>
      <c r="J116" s="8"/>
      <c r="K116" s="74">
        <f>$F93</f>
        <v>160</v>
      </c>
      <c r="L116" s="136">
        <f t="shared" si="14"/>
        <v>0</v>
      </c>
      <c r="M116" s="83"/>
      <c r="N116" s="137">
        <f t="shared" si="11"/>
        <v>0</v>
      </c>
      <c r="O116" s="79" t="str">
        <f t="shared" si="12"/>
        <v/>
      </c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</row>
    <row r="117" spans="1:63" x14ac:dyDescent="0.3">
      <c r="B117" s="17"/>
      <c r="C117" s="73"/>
      <c r="D117" s="7"/>
      <c r="E117" s="73"/>
      <c r="F117" s="8"/>
      <c r="G117" s="74">
        <f>$F93</f>
        <v>160</v>
      </c>
      <c r="H117" s="136">
        <f t="shared" si="13"/>
        <v>0</v>
      </c>
      <c r="I117" s="82"/>
      <c r="J117" s="8"/>
      <c r="K117" s="74">
        <f>$F93</f>
        <v>160</v>
      </c>
      <c r="L117" s="136">
        <f t="shared" si="14"/>
        <v>0</v>
      </c>
      <c r="M117" s="83"/>
      <c r="N117" s="137">
        <f t="shared" si="11"/>
        <v>0</v>
      </c>
      <c r="O117" s="79" t="str">
        <f t="shared" si="12"/>
        <v/>
      </c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</row>
    <row r="118" spans="1:63" x14ac:dyDescent="0.3">
      <c r="B118" s="17"/>
      <c r="C118" s="73"/>
      <c r="D118" s="7"/>
      <c r="E118" s="73"/>
      <c r="F118" s="8"/>
      <c r="G118" s="74">
        <f>$F93</f>
        <v>160</v>
      </c>
      <c r="H118" s="136">
        <f t="shared" si="13"/>
        <v>0</v>
      </c>
      <c r="I118" s="82"/>
      <c r="J118" s="8"/>
      <c r="K118" s="74">
        <f>$F93</f>
        <v>160</v>
      </c>
      <c r="L118" s="136">
        <f t="shared" si="14"/>
        <v>0</v>
      </c>
      <c r="M118" s="83"/>
      <c r="N118" s="137">
        <f t="shared" si="11"/>
        <v>0</v>
      </c>
      <c r="O118" s="79" t="str">
        <f t="shared" si="12"/>
        <v/>
      </c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</row>
    <row r="119" spans="1:63" x14ac:dyDescent="0.3">
      <c r="B119" s="80" t="s">
        <v>35</v>
      </c>
      <c r="C119" s="73"/>
      <c r="D119" s="7" t="s">
        <v>67</v>
      </c>
      <c r="E119" s="73"/>
      <c r="F119" s="135">
        <v>6.3799999999999996E-2</v>
      </c>
      <c r="G119" s="74">
        <f>$F93</f>
        <v>160</v>
      </c>
      <c r="H119" s="136">
        <f t="shared" si="13"/>
        <v>10.207999999999998</v>
      </c>
      <c r="I119" s="76"/>
      <c r="J119" s="132">
        <v>0.1313</v>
      </c>
      <c r="K119" s="74">
        <f>$F93</f>
        <v>160</v>
      </c>
      <c r="L119" s="136">
        <f t="shared" si="14"/>
        <v>21.007999999999999</v>
      </c>
      <c r="M119" s="76"/>
      <c r="N119" s="137">
        <f t="shared" si="11"/>
        <v>10.8</v>
      </c>
      <c r="O119" s="79">
        <f t="shared" si="12"/>
        <v>1.0579937304075238</v>
      </c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</row>
    <row r="120" spans="1:63" x14ac:dyDescent="0.3">
      <c r="B120" s="80" t="s">
        <v>36</v>
      </c>
      <c r="C120" s="73"/>
      <c r="D120" s="7" t="s">
        <v>27</v>
      </c>
      <c r="E120" s="73"/>
      <c r="F120" s="138">
        <f>IF(ISBLANK(D91)=TRUE, 0, IF(D91="TOU", 0.64*$F130+0.18*$F131+0.18*$F132, IF(AND(D91="non-TOU", G134&gt;0), F134,F133)))</f>
        <v>8.7999999999999995E-2</v>
      </c>
      <c r="G120" s="18">
        <f>$F94*(1+$F149)-$F94</f>
        <v>2412.8000000000029</v>
      </c>
      <c r="H120" s="136">
        <f t="shared" si="13"/>
        <v>212.32640000000023</v>
      </c>
      <c r="I120" s="76"/>
      <c r="J120" s="138">
        <f>+F120</f>
        <v>8.7999999999999995E-2</v>
      </c>
      <c r="K120" s="18">
        <f>$F94*(1+$J149)-$F94</f>
        <v>2406.4000000000087</v>
      </c>
      <c r="L120" s="136">
        <f t="shared" si="14"/>
        <v>211.76320000000075</v>
      </c>
      <c r="M120" s="76"/>
      <c r="N120" s="137">
        <f t="shared" si="11"/>
        <v>-0.56319999999948323</v>
      </c>
      <c r="O120" s="79">
        <f t="shared" si="12"/>
        <v>-2.6525198938967673E-3</v>
      </c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</row>
    <row r="121" spans="1:63" x14ac:dyDescent="0.3">
      <c r="B121" s="80" t="s">
        <v>37</v>
      </c>
      <c r="C121" s="73"/>
      <c r="D121" s="7" t="s">
        <v>24</v>
      </c>
      <c r="E121" s="73"/>
      <c r="F121" s="138">
        <v>0</v>
      </c>
      <c r="G121" s="74">
        <v>1</v>
      </c>
      <c r="H121" s="136">
        <f t="shared" si="13"/>
        <v>0</v>
      </c>
      <c r="I121" s="76"/>
      <c r="J121" s="138"/>
      <c r="K121" s="81">
        <v>1</v>
      </c>
      <c r="L121" s="136">
        <f t="shared" si="14"/>
        <v>0</v>
      </c>
      <c r="M121" s="76"/>
      <c r="N121" s="137">
        <f t="shared" si="11"/>
        <v>0</v>
      </c>
      <c r="O121" s="79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</row>
    <row r="122" spans="1:63" s="4" customFormat="1" x14ac:dyDescent="0.3">
      <c r="A122" s="60"/>
      <c r="B122" s="19" t="s">
        <v>38</v>
      </c>
      <c r="C122" s="20"/>
      <c r="D122" s="20"/>
      <c r="E122" s="20"/>
      <c r="F122" s="21"/>
      <c r="G122" s="22"/>
      <c r="H122" s="23">
        <f>SUM(H115:H121)+H114</f>
        <v>977.91240000000016</v>
      </c>
      <c r="I122" s="13"/>
      <c r="J122" s="22"/>
      <c r="K122" s="24"/>
      <c r="L122" s="23">
        <f>SUM(L115:L121)+L114</f>
        <v>1004.1492000000007</v>
      </c>
      <c r="M122" s="13"/>
      <c r="N122" s="15">
        <f t="shared" si="11"/>
        <v>26.236800000000585</v>
      </c>
      <c r="O122" s="16">
        <f t="shared" ref="O122:O134" si="15">IF((H122)=0,"",(N122/H122))</f>
        <v>2.6829396988933343E-2</v>
      </c>
      <c r="P122" s="60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</row>
    <row r="123" spans="1:63" x14ac:dyDescent="0.3">
      <c r="B123" s="76" t="s">
        <v>39</v>
      </c>
      <c r="C123" s="76"/>
      <c r="D123" s="25" t="s">
        <v>67</v>
      </c>
      <c r="E123" s="76"/>
      <c r="F123" s="135">
        <v>2.8561000000000001</v>
      </c>
      <c r="G123" s="18">
        <f>F93*(1+F149)</f>
        <v>166.03200000000001</v>
      </c>
      <c r="H123" s="136">
        <f>G123*F123</f>
        <v>474.20399520000007</v>
      </c>
      <c r="I123" s="76"/>
      <c r="J123" s="135">
        <f>+$J$48</f>
        <v>2.8328000000000002</v>
      </c>
      <c r="K123" s="18">
        <f>F93*(1+J149)</f>
        <v>166.01600000000002</v>
      </c>
      <c r="L123" s="136">
        <f>K123*J123</f>
        <v>470.29012480000011</v>
      </c>
      <c r="M123" s="76"/>
      <c r="N123" s="136">
        <f t="shared" si="11"/>
        <v>-3.9138703999999507</v>
      </c>
      <c r="O123" s="79">
        <f t="shared" si="15"/>
        <v>-8.2535584676996197E-3</v>
      </c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</row>
    <row r="124" spans="1:63" x14ac:dyDescent="0.3">
      <c r="B124" s="85" t="s">
        <v>40</v>
      </c>
      <c r="C124" s="76"/>
      <c r="D124" s="25" t="s">
        <v>67</v>
      </c>
      <c r="E124" s="76"/>
      <c r="F124" s="135">
        <v>1.9374</v>
      </c>
      <c r="G124" s="18">
        <f>G123</f>
        <v>166.03200000000001</v>
      </c>
      <c r="H124" s="136">
        <f>G124*F124</f>
        <v>321.67039680000005</v>
      </c>
      <c r="I124" s="76"/>
      <c r="J124" s="135">
        <f>+$J$49</f>
        <v>1.8771</v>
      </c>
      <c r="K124" s="18">
        <f>K123</f>
        <v>166.01600000000002</v>
      </c>
      <c r="L124" s="136">
        <f>K124*J124</f>
        <v>311.62863360000006</v>
      </c>
      <c r="M124" s="76"/>
      <c r="N124" s="136">
        <f t="shared" si="11"/>
        <v>-10.041763199999991</v>
      </c>
      <c r="O124" s="79">
        <f t="shared" si="15"/>
        <v>-3.1217554676762814E-2</v>
      </c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</row>
    <row r="125" spans="1:63" s="4" customFormat="1" x14ac:dyDescent="0.3">
      <c r="A125" s="60"/>
      <c r="B125" s="19" t="s">
        <v>41</v>
      </c>
      <c r="C125" s="20"/>
      <c r="D125" s="20"/>
      <c r="E125" s="20"/>
      <c r="F125" s="21"/>
      <c r="G125" s="22"/>
      <c r="H125" s="23">
        <f>SUM(H122:H124)</f>
        <v>1773.7867920000003</v>
      </c>
      <c r="I125" s="13"/>
      <c r="J125" s="26"/>
      <c r="K125" s="22"/>
      <c r="L125" s="23">
        <f>SUM(L122:L124)</f>
        <v>1786.0679584000009</v>
      </c>
      <c r="M125" s="13"/>
      <c r="N125" s="15">
        <f t="shared" si="11"/>
        <v>12.281166400000529</v>
      </c>
      <c r="O125" s="16">
        <f t="shared" si="15"/>
        <v>6.9236993168458136E-3</v>
      </c>
      <c r="P125" s="60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</row>
    <row r="126" spans="1:63" x14ac:dyDescent="0.3">
      <c r="B126" s="86" t="s">
        <v>42</v>
      </c>
      <c r="C126" s="73"/>
      <c r="D126" s="7" t="s">
        <v>27</v>
      </c>
      <c r="E126" s="73"/>
      <c r="F126" s="135">
        <v>4.4000000000000003E-3</v>
      </c>
      <c r="G126" s="18">
        <f>F94*(1+F149)</f>
        <v>66412.800000000003</v>
      </c>
      <c r="H126" s="139">
        <f t="shared" ref="H126:H134" si="16">G126*F126</f>
        <v>292.21632000000005</v>
      </c>
      <c r="I126" s="76"/>
      <c r="J126" s="135">
        <f>+F126</f>
        <v>4.4000000000000003E-3</v>
      </c>
      <c r="K126" s="18">
        <f>F94*(1+J149)</f>
        <v>66406.400000000009</v>
      </c>
      <c r="L126" s="139">
        <f t="shared" ref="L126:L134" si="17">K126*J126</f>
        <v>292.18816000000004</v>
      </c>
      <c r="M126" s="76"/>
      <c r="N126" s="137">
        <f t="shared" si="11"/>
        <v>-2.8160000000013952E-2</v>
      </c>
      <c r="O126" s="87">
        <f t="shared" si="15"/>
        <v>-9.6366965404307147E-5</v>
      </c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</row>
    <row r="127" spans="1:63" x14ac:dyDescent="0.3">
      <c r="B127" s="86" t="s">
        <v>43</v>
      </c>
      <c r="C127" s="73"/>
      <c r="D127" s="7" t="s">
        <v>27</v>
      </c>
      <c r="E127" s="73"/>
      <c r="F127" s="135">
        <v>1.1999999999999999E-3</v>
      </c>
      <c r="G127" s="18">
        <f>+G126</f>
        <v>66412.800000000003</v>
      </c>
      <c r="H127" s="139">
        <f t="shared" si="16"/>
        <v>79.695359999999994</v>
      </c>
      <c r="I127" s="76"/>
      <c r="J127" s="135">
        <v>1.2999999999999999E-3</v>
      </c>
      <c r="K127" s="18">
        <f>+K126</f>
        <v>66406.400000000009</v>
      </c>
      <c r="L127" s="139">
        <f t="shared" si="17"/>
        <v>86.328320000000005</v>
      </c>
      <c r="M127" s="76"/>
      <c r="N127" s="137">
        <f t="shared" si="11"/>
        <v>6.6329600000000113</v>
      </c>
      <c r="O127" s="87">
        <f t="shared" si="15"/>
        <v>8.3228935787478864E-2</v>
      </c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</row>
    <row r="128" spans="1:63" x14ac:dyDescent="0.3">
      <c r="B128" s="73" t="s">
        <v>44</v>
      </c>
      <c r="C128" s="73"/>
      <c r="D128" s="7" t="s">
        <v>24</v>
      </c>
      <c r="E128" s="73"/>
      <c r="F128" s="135">
        <v>0.25</v>
      </c>
      <c r="G128" s="81">
        <v>1</v>
      </c>
      <c r="H128" s="139">
        <f t="shared" si="16"/>
        <v>0.25</v>
      </c>
      <c r="I128" s="76"/>
      <c r="J128" s="135">
        <f>+F128</f>
        <v>0.25</v>
      </c>
      <c r="K128" s="77">
        <v>1</v>
      </c>
      <c r="L128" s="139">
        <f t="shared" si="17"/>
        <v>0.25</v>
      </c>
      <c r="M128" s="76"/>
      <c r="N128" s="137">
        <f t="shared" si="11"/>
        <v>0</v>
      </c>
      <c r="O128" s="87">
        <f t="shared" si="15"/>
        <v>0</v>
      </c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</row>
    <row r="129" spans="1:63" x14ac:dyDescent="0.3">
      <c r="B129" s="73" t="s">
        <v>45</v>
      </c>
      <c r="C129" s="73"/>
      <c r="D129" s="7" t="s">
        <v>27</v>
      </c>
      <c r="E129" s="73"/>
      <c r="F129" s="135">
        <v>7.0000000000000001E-3</v>
      </c>
      <c r="G129" s="84">
        <f>F94</f>
        <v>64000</v>
      </c>
      <c r="H129" s="139">
        <f t="shared" si="16"/>
        <v>448</v>
      </c>
      <c r="I129" s="76"/>
      <c r="J129" s="135">
        <f>+F129</f>
        <v>7.0000000000000001E-3</v>
      </c>
      <c r="K129" s="77">
        <f>F94</f>
        <v>64000</v>
      </c>
      <c r="L129" s="139">
        <f t="shared" si="17"/>
        <v>448</v>
      </c>
      <c r="M129" s="76"/>
      <c r="N129" s="137">
        <f t="shared" si="11"/>
        <v>0</v>
      </c>
      <c r="O129" s="87">
        <f t="shared" si="15"/>
        <v>0</v>
      </c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</row>
    <row r="130" spans="1:63" x14ac:dyDescent="0.3">
      <c r="B130" s="80" t="s">
        <v>46</v>
      </c>
      <c r="C130" s="73"/>
      <c r="D130" s="7" t="s">
        <v>27</v>
      </c>
      <c r="E130" s="73"/>
      <c r="F130" s="138">
        <v>6.7000000000000004E-2</v>
      </c>
      <c r="G130" s="27">
        <f>0.64*$F94</f>
        <v>40960</v>
      </c>
      <c r="H130" s="139">
        <f t="shared" si="16"/>
        <v>2744.32</v>
      </c>
      <c r="I130" s="76"/>
      <c r="J130" s="138">
        <v>6.7000000000000004E-2</v>
      </c>
      <c r="K130" s="28">
        <f>G130</f>
        <v>40960</v>
      </c>
      <c r="L130" s="139">
        <f t="shared" si="17"/>
        <v>2744.32</v>
      </c>
      <c r="M130" s="76"/>
      <c r="N130" s="137">
        <f t="shared" si="11"/>
        <v>0</v>
      </c>
      <c r="O130" s="87">
        <f t="shared" si="15"/>
        <v>0</v>
      </c>
      <c r="Q130" s="126"/>
      <c r="R130" s="126"/>
      <c r="S130" s="127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</row>
    <row r="131" spans="1:63" x14ac:dyDescent="0.3">
      <c r="B131" s="80" t="s">
        <v>47</v>
      </c>
      <c r="C131" s="73"/>
      <c r="D131" s="7" t="s">
        <v>27</v>
      </c>
      <c r="E131" s="73"/>
      <c r="F131" s="138">
        <v>0.104</v>
      </c>
      <c r="G131" s="27">
        <f>0.18*$F94</f>
        <v>11520</v>
      </c>
      <c r="H131" s="139">
        <f t="shared" si="16"/>
        <v>1198.08</v>
      </c>
      <c r="I131" s="76"/>
      <c r="J131" s="138">
        <v>0.104</v>
      </c>
      <c r="K131" s="28">
        <f>G131</f>
        <v>11520</v>
      </c>
      <c r="L131" s="139">
        <f t="shared" si="17"/>
        <v>1198.08</v>
      </c>
      <c r="M131" s="76"/>
      <c r="N131" s="137">
        <f t="shared" si="11"/>
        <v>0</v>
      </c>
      <c r="O131" s="87">
        <f t="shared" si="15"/>
        <v>0</v>
      </c>
      <c r="Q131" s="126"/>
      <c r="R131" s="126"/>
      <c r="S131" s="127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</row>
    <row r="132" spans="1:63" x14ac:dyDescent="0.3">
      <c r="B132" s="64" t="s">
        <v>48</v>
      </c>
      <c r="C132" s="73"/>
      <c r="D132" s="7" t="s">
        <v>27</v>
      </c>
      <c r="E132" s="73"/>
      <c r="F132" s="138">
        <v>0.124</v>
      </c>
      <c r="G132" s="27">
        <f>0.18*$F94</f>
        <v>11520</v>
      </c>
      <c r="H132" s="139">
        <f t="shared" si="16"/>
        <v>1428.48</v>
      </c>
      <c r="I132" s="76"/>
      <c r="J132" s="138">
        <v>0.124</v>
      </c>
      <c r="K132" s="28">
        <f>G132</f>
        <v>11520</v>
      </c>
      <c r="L132" s="139">
        <f t="shared" si="17"/>
        <v>1428.48</v>
      </c>
      <c r="M132" s="76"/>
      <c r="N132" s="137">
        <f t="shared" si="11"/>
        <v>0</v>
      </c>
      <c r="O132" s="87">
        <f t="shared" si="15"/>
        <v>0</v>
      </c>
      <c r="Q132" s="126"/>
      <c r="R132" s="126"/>
      <c r="S132" s="127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</row>
    <row r="133" spans="1:63" s="92" customFormat="1" x14ac:dyDescent="0.25">
      <c r="B133" s="89" t="s">
        <v>49</v>
      </c>
      <c r="C133" s="90"/>
      <c r="D133" s="29" t="s">
        <v>27</v>
      </c>
      <c r="E133" s="90"/>
      <c r="F133" s="138">
        <v>7.4999999999999997E-2</v>
      </c>
      <c r="G133" s="30">
        <f>IF(AND($T$1=1, F94&gt;=750), 750, IF(AND($T$1=1, AND(F94&lt;750, F94&gt;=0)), F94, IF(AND($T$1=2, F94&gt;=750), 750, IF(AND($T$1=2, AND(F94&lt;750, F94&gt;=0)), F94))))</f>
        <v>750</v>
      </c>
      <c r="H133" s="139">
        <f t="shared" si="16"/>
        <v>56.25</v>
      </c>
      <c r="I133" s="91"/>
      <c r="J133" s="138">
        <v>7.4999999999999997E-2</v>
      </c>
      <c r="K133" s="31">
        <f>G133</f>
        <v>750</v>
      </c>
      <c r="L133" s="139">
        <f t="shared" si="17"/>
        <v>56.25</v>
      </c>
      <c r="M133" s="91"/>
      <c r="N133" s="140">
        <f t="shared" si="11"/>
        <v>0</v>
      </c>
      <c r="O133" s="87">
        <f t="shared" si="15"/>
        <v>0</v>
      </c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</row>
    <row r="134" spans="1:63" s="92" customFormat="1" ht="15" thickBot="1" x14ac:dyDescent="0.3">
      <c r="B134" s="89" t="s">
        <v>50</v>
      </c>
      <c r="C134" s="90"/>
      <c r="D134" s="29" t="s">
        <v>27</v>
      </c>
      <c r="E134" s="90"/>
      <c r="F134" s="138">
        <v>8.7999999999999995E-2</v>
      </c>
      <c r="G134" s="30">
        <f>IF(AND($T$1=1, F94&gt;=750), F94-750, IF(AND($T$1=1, AND(F94&lt;750, F94&gt;=0)), 0, IF(AND($T$1=2, F94&gt;=750), F94-750, IF(AND($T$1=2, AND(F94&lt;750, F94&gt;=0)), 0))))</f>
        <v>63250</v>
      </c>
      <c r="H134" s="139">
        <f t="shared" si="16"/>
        <v>5566</v>
      </c>
      <c r="I134" s="91"/>
      <c r="J134" s="138">
        <v>8.7999999999999995E-2</v>
      </c>
      <c r="K134" s="31">
        <f>G134</f>
        <v>63250</v>
      </c>
      <c r="L134" s="139">
        <f t="shared" si="17"/>
        <v>5566</v>
      </c>
      <c r="M134" s="91"/>
      <c r="N134" s="140">
        <f t="shared" si="11"/>
        <v>0</v>
      </c>
      <c r="O134" s="87">
        <f t="shared" si="15"/>
        <v>0</v>
      </c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</row>
    <row r="135" spans="1:63" s="4" customFormat="1" ht="15" thickBot="1" x14ac:dyDescent="0.35">
      <c r="A135" s="60"/>
      <c r="B135" s="32"/>
      <c r="C135" s="33"/>
      <c r="D135" s="124"/>
      <c r="E135" s="33"/>
      <c r="F135" s="35"/>
      <c r="G135" s="36"/>
      <c r="H135" s="122"/>
      <c r="I135" s="123"/>
      <c r="J135" s="35"/>
      <c r="K135" s="39"/>
      <c r="L135" s="122"/>
      <c r="M135" s="123"/>
      <c r="N135" s="40"/>
      <c r="O135" s="41"/>
      <c r="P135" s="60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</row>
    <row r="136" spans="1:63" x14ac:dyDescent="0.3">
      <c r="B136" s="93" t="s">
        <v>51</v>
      </c>
      <c r="C136" s="73"/>
      <c r="D136" s="73"/>
      <c r="E136" s="73"/>
      <c r="F136" s="94"/>
      <c r="G136" s="95"/>
      <c r="H136" s="141">
        <f>SUM(H126:H132,H125)</f>
        <v>7964.8284720000011</v>
      </c>
      <c r="I136" s="96"/>
      <c r="J136" s="97"/>
      <c r="K136" s="97"/>
      <c r="L136" s="144">
        <f>SUM(L126:L132,L125)</f>
        <v>7983.7144384000003</v>
      </c>
      <c r="M136" s="145"/>
      <c r="N136" s="146">
        <f>L136-H136</f>
        <v>18.885966399999234</v>
      </c>
      <c r="O136" s="98">
        <f>IF((H136)=0,"",(N136/H136))</f>
        <v>2.37117051125357E-3</v>
      </c>
      <c r="Q136" s="126"/>
      <c r="R136" s="126"/>
      <c r="S136" s="127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</row>
    <row r="137" spans="1:63" x14ac:dyDescent="0.3">
      <c r="B137" s="99" t="s">
        <v>52</v>
      </c>
      <c r="C137" s="73"/>
      <c r="D137" s="73"/>
      <c r="E137" s="73"/>
      <c r="F137" s="100">
        <v>0.13</v>
      </c>
      <c r="G137" s="101"/>
      <c r="H137" s="142">
        <f>H136*F137</f>
        <v>1035.4277013600001</v>
      </c>
      <c r="I137" s="102"/>
      <c r="J137" s="103">
        <v>0.13</v>
      </c>
      <c r="K137" s="102"/>
      <c r="L137" s="147">
        <f>L136*J137</f>
        <v>1037.8828769920001</v>
      </c>
      <c r="M137" s="148"/>
      <c r="N137" s="149">
        <f>L137-H137</f>
        <v>2.455175631999964</v>
      </c>
      <c r="O137" s="104">
        <f>IF((H137)=0,"",(N137/H137))</f>
        <v>2.3711705112536316E-3</v>
      </c>
      <c r="Q137" s="126"/>
      <c r="R137" s="126"/>
      <c r="S137" s="127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</row>
    <row r="138" spans="1:63" x14ac:dyDescent="0.3">
      <c r="B138" s="105" t="s">
        <v>53</v>
      </c>
      <c r="C138" s="73"/>
      <c r="D138" s="73"/>
      <c r="E138" s="73"/>
      <c r="F138" s="106"/>
      <c r="G138" s="101"/>
      <c r="H138" s="142">
        <f>H136+H137</f>
        <v>9000.2561733600014</v>
      </c>
      <c r="I138" s="102"/>
      <c r="J138" s="102"/>
      <c r="K138" s="102"/>
      <c r="L138" s="147">
        <f>L136+L137</f>
        <v>9021.5973153920004</v>
      </c>
      <c r="M138" s="148"/>
      <c r="N138" s="149">
        <f>L138-H138</f>
        <v>21.34114203199897</v>
      </c>
      <c r="O138" s="104">
        <f>IF((H138)=0,"",(N138/H138))</f>
        <v>2.3711705112535518E-3</v>
      </c>
      <c r="Q138" s="126"/>
      <c r="R138" s="126"/>
      <c r="S138" s="127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</row>
    <row r="139" spans="1:63" ht="14.4" customHeight="1" x14ac:dyDescent="0.3">
      <c r="B139" s="172" t="s">
        <v>54</v>
      </c>
      <c r="C139" s="172"/>
      <c r="D139" s="172"/>
      <c r="E139" s="73"/>
      <c r="F139" s="106"/>
      <c r="G139" s="101"/>
      <c r="H139" s="143">
        <v>0</v>
      </c>
      <c r="I139" s="102"/>
      <c r="J139" s="102"/>
      <c r="K139" s="102"/>
      <c r="L139" s="150">
        <v>0</v>
      </c>
      <c r="M139" s="148"/>
      <c r="N139" s="151">
        <f>L139-H139</f>
        <v>0</v>
      </c>
      <c r="O139" s="107" t="str">
        <f>IF((H139)=0,"",(N139/H139))</f>
        <v/>
      </c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</row>
    <row r="140" spans="1:63" s="4" customFormat="1" ht="15" thickBot="1" x14ac:dyDescent="0.35">
      <c r="A140" s="60"/>
      <c r="B140" s="173" t="s">
        <v>55</v>
      </c>
      <c r="C140" s="173"/>
      <c r="D140" s="173"/>
      <c r="E140" s="42"/>
      <c r="F140" s="43"/>
      <c r="G140" s="44"/>
      <c r="H140" s="45">
        <f>H138+H139</f>
        <v>9000.2561733600014</v>
      </c>
      <c r="I140" s="46"/>
      <c r="J140" s="46"/>
      <c r="K140" s="46"/>
      <c r="L140" s="47">
        <f>L138+L139</f>
        <v>9021.5973153920004</v>
      </c>
      <c r="M140" s="48"/>
      <c r="N140" s="49">
        <f>L140-H140</f>
        <v>21.34114203199897</v>
      </c>
      <c r="O140" s="50">
        <f>IF((H140)=0,"",(N140/H140))</f>
        <v>2.3711705112535518E-3</v>
      </c>
      <c r="P140" s="60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</row>
    <row r="141" spans="1:63" s="4" customFormat="1" ht="15" thickBot="1" x14ac:dyDescent="0.35">
      <c r="A141" s="60"/>
      <c r="B141" s="32"/>
      <c r="C141" s="33"/>
      <c r="D141" s="34"/>
      <c r="E141" s="33"/>
      <c r="F141" s="35"/>
      <c r="G141" s="36"/>
      <c r="H141" s="37"/>
      <c r="I141" s="38"/>
      <c r="J141" s="35"/>
      <c r="K141" s="39"/>
      <c r="L141" s="37"/>
      <c r="M141" s="123"/>
      <c r="N141" s="40"/>
      <c r="O141" s="41"/>
      <c r="P141" s="60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</row>
    <row r="142" spans="1:63" s="92" customFormat="1" ht="13.2" x14ac:dyDescent="0.25">
      <c r="B142" s="108" t="s">
        <v>56</v>
      </c>
      <c r="C142" s="90"/>
      <c r="D142" s="90"/>
      <c r="E142" s="90"/>
      <c r="F142" s="109"/>
      <c r="G142" s="110"/>
      <c r="H142" s="152">
        <f>SUM(H133:H134,H125,H126:H129)</f>
        <v>8216.198472</v>
      </c>
      <c r="I142" s="111"/>
      <c r="J142" s="112"/>
      <c r="K142" s="112"/>
      <c r="L142" s="155">
        <f>SUM(L133:L134,L125,L126:L129)</f>
        <v>8235.0844384000011</v>
      </c>
      <c r="M142" s="156"/>
      <c r="N142" s="157">
        <f>L142-H142</f>
        <v>18.885966400001053</v>
      </c>
      <c r="O142" s="98">
        <f>IF((H142)=0,"",(N142/H142))</f>
        <v>2.2986258747719614E-3</v>
      </c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</row>
    <row r="143" spans="1:63" s="92" customFormat="1" ht="13.2" x14ac:dyDescent="0.25">
      <c r="B143" s="113" t="s">
        <v>52</v>
      </c>
      <c r="C143" s="90"/>
      <c r="D143" s="90"/>
      <c r="E143" s="90"/>
      <c r="F143" s="114">
        <v>0.13</v>
      </c>
      <c r="G143" s="110"/>
      <c r="H143" s="153">
        <f>H142*F143</f>
        <v>1068.10580136</v>
      </c>
      <c r="I143" s="115"/>
      <c r="J143" s="116">
        <v>0.13</v>
      </c>
      <c r="K143" s="117"/>
      <c r="L143" s="158">
        <f>L142*J143</f>
        <v>1070.5609769920002</v>
      </c>
      <c r="M143" s="159"/>
      <c r="N143" s="160">
        <f>L143-H143</f>
        <v>2.4551756320001914</v>
      </c>
      <c r="O143" s="104">
        <f>IF((H143)=0,"",(N143/H143))</f>
        <v>2.2986258747720125E-3</v>
      </c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</row>
    <row r="144" spans="1:63" s="92" customFormat="1" ht="13.2" x14ac:dyDescent="0.25">
      <c r="B144" s="118" t="s">
        <v>53</v>
      </c>
      <c r="C144" s="90"/>
      <c r="D144" s="90"/>
      <c r="E144" s="90"/>
      <c r="F144" s="119"/>
      <c r="G144" s="120"/>
      <c r="H144" s="153">
        <f>H142+H143</f>
        <v>9284.3042733599996</v>
      </c>
      <c r="I144" s="115"/>
      <c r="J144" s="115"/>
      <c r="K144" s="115"/>
      <c r="L144" s="158">
        <f>L142+L143</f>
        <v>9305.6454153920022</v>
      </c>
      <c r="M144" s="159"/>
      <c r="N144" s="160">
        <f>L144-H144</f>
        <v>21.341142032002608</v>
      </c>
      <c r="O144" s="104">
        <f>IF((H144)=0,"",(N144/H144))</f>
        <v>2.2986258747721144E-3</v>
      </c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</row>
    <row r="145" spans="1:63" s="92" customFormat="1" ht="13.2" customHeight="1" x14ac:dyDescent="0.25">
      <c r="B145" s="174" t="s">
        <v>54</v>
      </c>
      <c r="C145" s="174"/>
      <c r="D145" s="174"/>
      <c r="E145" s="90"/>
      <c r="F145" s="119"/>
      <c r="G145" s="120"/>
      <c r="H145" s="154">
        <v>0</v>
      </c>
      <c r="I145" s="115"/>
      <c r="J145" s="115"/>
      <c r="K145" s="115"/>
      <c r="L145" s="161">
        <v>0</v>
      </c>
      <c r="M145" s="159"/>
      <c r="N145" s="162">
        <f>L145-H145</f>
        <v>0</v>
      </c>
      <c r="O145" s="107" t="str">
        <f>IF((H145)=0,"",(N145/H145))</f>
        <v/>
      </c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</row>
    <row r="146" spans="1:63" s="4" customFormat="1" ht="15" thickBot="1" x14ac:dyDescent="0.35">
      <c r="A146" s="60"/>
      <c r="B146" s="173" t="s">
        <v>57</v>
      </c>
      <c r="C146" s="173"/>
      <c r="D146" s="173"/>
      <c r="E146" s="42"/>
      <c r="F146" s="43"/>
      <c r="G146" s="44"/>
      <c r="H146" s="45">
        <f>SUM(H144:H145)</f>
        <v>9284.3042733599996</v>
      </c>
      <c r="I146" s="46"/>
      <c r="J146" s="46"/>
      <c r="K146" s="46"/>
      <c r="L146" s="47">
        <f>SUM(L144:L145)</f>
        <v>9305.6454153920022</v>
      </c>
      <c r="M146" s="48"/>
      <c r="N146" s="49">
        <f>L146-H146</f>
        <v>21.341142032002608</v>
      </c>
      <c r="O146" s="50">
        <f>IF((H146)=0,"",(N146/H146))</f>
        <v>2.2986258747721144E-3</v>
      </c>
      <c r="P146" s="60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</row>
    <row r="147" spans="1:63" s="4" customFormat="1" ht="15" thickBot="1" x14ac:dyDescent="0.35">
      <c r="A147" s="60"/>
      <c r="B147" s="32"/>
      <c r="C147" s="33"/>
      <c r="D147" s="34"/>
      <c r="E147" s="33"/>
      <c r="F147" s="35"/>
      <c r="G147" s="36"/>
      <c r="H147" s="122"/>
      <c r="I147" s="123"/>
      <c r="J147" s="35"/>
      <c r="K147" s="39"/>
      <c r="L147" s="37"/>
      <c r="M147" s="123"/>
      <c r="N147" s="40"/>
      <c r="O147" s="41"/>
      <c r="P147" s="60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</row>
    <row r="148" spans="1:63" x14ac:dyDescent="0.3">
      <c r="L148" s="88"/>
    </row>
    <row r="149" spans="1:63" x14ac:dyDescent="0.3">
      <c r="B149" s="65" t="s">
        <v>58</v>
      </c>
      <c r="F149" s="51">
        <v>3.7699999999999997E-2</v>
      </c>
      <c r="J149" s="51">
        <f>+Residential!$J$74</f>
        <v>3.7600000000000001E-2</v>
      </c>
    </row>
    <row r="151" spans="1:63" x14ac:dyDescent="0.3">
      <c r="L151" s="56"/>
      <c r="M151" s="56"/>
      <c r="N151" s="56"/>
      <c r="O151" s="56"/>
      <c r="P151" s="56"/>
    </row>
    <row r="152" spans="1:63" ht="16.2" x14ac:dyDescent="0.3">
      <c r="A152" s="121" t="s">
        <v>59</v>
      </c>
    </row>
    <row r="154" spans="1:63" x14ac:dyDescent="0.3">
      <c r="A154" s="60" t="s">
        <v>60</v>
      </c>
    </row>
    <row r="155" spans="1:63" x14ac:dyDescent="0.3">
      <c r="A155" s="60" t="s">
        <v>61</v>
      </c>
    </row>
    <row r="157" spans="1:63" x14ac:dyDescent="0.3">
      <c r="B157" s="60" t="s">
        <v>62</v>
      </c>
    </row>
    <row r="160" spans="1:63" ht="18.75" customHeight="1" x14ac:dyDescent="0.3">
      <c r="B160" s="175" t="s">
        <v>6</v>
      </c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56"/>
    </row>
    <row r="161" spans="2:29" ht="18.75" customHeight="1" x14ac:dyDescent="0.3">
      <c r="B161" s="175" t="s">
        <v>7</v>
      </c>
      <c r="C161" s="175"/>
      <c r="D161" s="175"/>
      <c r="E161" s="175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56"/>
    </row>
    <row r="162" spans="2:29" ht="7.5" customHeight="1" x14ac:dyDescent="0.3">
      <c r="L162" s="56"/>
      <c r="M162" s="56"/>
      <c r="N162" s="56"/>
      <c r="O162" s="56"/>
      <c r="P162" s="56"/>
    </row>
    <row r="163" spans="2:29" ht="7.5" customHeight="1" x14ac:dyDescent="0.3">
      <c r="L163" s="56"/>
      <c r="M163" s="56"/>
      <c r="N163" s="56"/>
      <c r="O163" s="56"/>
      <c r="P163" s="56"/>
    </row>
    <row r="164" spans="2:29" ht="15.6" x14ac:dyDescent="0.3">
      <c r="B164" s="61" t="s">
        <v>8</v>
      </c>
      <c r="D164" s="185" t="s">
        <v>77</v>
      </c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</row>
    <row r="165" spans="2:29" ht="7.5" customHeight="1" x14ac:dyDescent="0.3">
      <c r="B165" s="62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</row>
    <row r="166" spans="2:29" ht="15.6" x14ac:dyDescent="0.3">
      <c r="B166" s="61" t="s">
        <v>9</v>
      </c>
      <c r="D166" s="5" t="s">
        <v>63</v>
      </c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</row>
    <row r="167" spans="2:29" ht="15.6" x14ac:dyDescent="0.3">
      <c r="B167" s="62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</row>
    <row r="168" spans="2:29" x14ac:dyDescent="0.3">
      <c r="B168" s="64"/>
      <c r="D168" s="65" t="s">
        <v>11</v>
      </c>
      <c r="E168" s="65"/>
      <c r="F168" s="6">
        <v>300</v>
      </c>
      <c r="G168" s="65" t="s">
        <v>64</v>
      </c>
    </row>
    <row r="169" spans="2:29" x14ac:dyDescent="0.3">
      <c r="B169" s="64"/>
      <c r="F169" s="6">
        <v>120000</v>
      </c>
      <c r="G169" s="65" t="s">
        <v>12</v>
      </c>
    </row>
    <row r="170" spans="2:29" x14ac:dyDescent="0.3">
      <c r="B170" s="64"/>
      <c r="D170" s="66"/>
      <c r="E170" s="66"/>
      <c r="F170" s="176" t="s">
        <v>13</v>
      </c>
      <c r="G170" s="177"/>
      <c r="H170" s="178"/>
      <c r="J170" s="176" t="s">
        <v>14</v>
      </c>
      <c r="K170" s="177"/>
      <c r="L170" s="178"/>
      <c r="N170" s="176" t="s">
        <v>15</v>
      </c>
      <c r="O170" s="178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</row>
    <row r="171" spans="2:29" x14ac:dyDescent="0.3">
      <c r="B171" s="64"/>
      <c r="D171" s="179" t="s">
        <v>16</v>
      </c>
      <c r="E171" s="67"/>
      <c r="F171" s="68" t="s">
        <v>17</v>
      </c>
      <c r="G171" s="68" t="s">
        <v>18</v>
      </c>
      <c r="H171" s="69" t="s">
        <v>19</v>
      </c>
      <c r="J171" s="68" t="s">
        <v>17</v>
      </c>
      <c r="K171" s="70" t="s">
        <v>18</v>
      </c>
      <c r="L171" s="69" t="s">
        <v>19</v>
      </c>
      <c r="N171" s="181" t="s">
        <v>20</v>
      </c>
      <c r="O171" s="183" t="s">
        <v>21</v>
      </c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</row>
    <row r="172" spans="2:29" x14ac:dyDescent="0.3">
      <c r="B172" s="64"/>
      <c r="D172" s="180"/>
      <c r="E172" s="67"/>
      <c r="F172" s="71" t="s">
        <v>22</v>
      </c>
      <c r="G172" s="71"/>
      <c r="H172" s="72" t="s">
        <v>22</v>
      </c>
      <c r="J172" s="71" t="s">
        <v>22</v>
      </c>
      <c r="K172" s="72"/>
      <c r="L172" s="72" t="s">
        <v>22</v>
      </c>
      <c r="N172" s="182"/>
      <c r="O172" s="184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</row>
    <row r="173" spans="2:29" x14ac:dyDescent="0.3">
      <c r="B173" s="73" t="s">
        <v>23</v>
      </c>
      <c r="C173" s="73"/>
      <c r="D173" s="7" t="s">
        <v>24</v>
      </c>
      <c r="E173" s="73"/>
      <c r="F173" s="129">
        <v>118.45</v>
      </c>
      <c r="G173" s="74">
        <v>1</v>
      </c>
      <c r="H173" s="75">
        <f t="shared" ref="H173:H188" si="18">G173*F173</f>
        <v>118.45</v>
      </c>
      <c r="I173" s="76"/>
      <c r="J173" s="129">
        <v>118.45</v>
      </c>
      <c r="K173" s="77">
        <v>1</v>
      </c>
      <c r="L173" s="75">
        <f t="shared" ref="L173:L188" si="19">K173*J173</f>
        <v>118.45</v>
      </c>
      <c r="M173" s="76"/>
      <c r="N173" s="78">
        <f t="shared" ref="N173:N209" si="20">L173-H173</f>
        <v>0</v>
      </c>
      <c r="O173" s="79">
        <f t="shared" ref="O173:O195" si="21">IF((H173)=0,"",(N173/H173))</f>
        <v>0</v>
      </c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</row>
    <row r="174" spans="2:29" x14ac:dyDescent="0.3">
      <c r="B174" s="73" t="s">
        <v>25</v>
      </c>
      <c r="C174" s="73"/>
      <c r="D174" s="7" t="s">
        <v>24</v>
      </c>
      <c r="E174" s="73"/>
      <c r="F174" s="133"/>
      <c r="G174" s="74">
        <v>1</v>
      </c>
      <c r="H174" s="136">
        <f t="shared" si="18"/>
        <v>0</v>
      </c>
      <c r="I174" s="76"/>
      <c r="J174" s="130"/>
      <c r="K174" s="77">
        <v>1</v>
      </c>
      <c r="L174" s="136">
        <f t="shared" si="19"/>
        <v>0</v>
      </c>
      <c r="M174" s="76"/>
      <c r="N174" s="137">
        <f t="shared" si="20"/>
        <v>0</v>
      </c>
      <c r="O174" s="79" t="str">
        <f t="shared" si="21"/>
        <v/>
      </c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</row>
    <row r="175" spans="2:29" x14ac:dyDescent="0.3">
      <c r="B175" s="9"/>
      <c r="C175" s="73"/>
      <c r="D175" s="7"/>
      <c r="E175" s="73"/>
      <c r="F175" s="134"/>
      <c r="G175" s="74">
        <v>1</v>
      </c>
      <c r="H175" s="136">
        <f t="shared" si="18"/>
        <v>0</v>
      </c>
      <c r="I175" s="76"/>
      <c r="J175" s="131"/>
      <c r="K175" s="77">
        <v>1</v>
      </c>
      <c r="L175" s="136">
        <f t="shared" si="19"/>
        <v>0</v>
      </c>
      <c r="M175" s="76"/>
      <c r="N175" s="137">
        <f t="shared" si="20"/>
        <v>0</v>
      </c>
      <c r="O175" s="79" t="str">
        <f t="shared" si="21"/>
        <v/>
      </c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</row>
    <row r="176" spans="2:29" x14ac:dyDescent="0.3">
      <c r="B176" s="9"/>
      <c r="C176" s="73"/>
      <c r="D176" s="7"/>
      <c r="E176" s="73"/>
      <c r="F176" s="134"/>
      <c r="G176" s="74">
        <v>1</v>
      </c>
      <c r="H176" s="136">
        <f t="shared" si="18"/>
        <v>0</v>
      </c>
      <c r="I176" s="76"/>
      <c r="J176" s="131"/>
      <c r="K176" s="77">
        <v>1</v>
      </c>
      <c r="L176" s="136">
        <f t="shared" si="19"/>
        <v>0</v>
      </c>
      <c r="M176" s="76"/>
      <c r="N176" s="137">
        <f t="shared" si="20"/>
        <v>0</v>
      </c>
      <c r="O176" s="79" t="str">
        <f t="shared" si="21"/>
        <v/>
      </c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</row>
    <row r="177" spans="1:63" x14ac:dyDescent="0.3">
      <c r="B177" s="10"/>
      <c r="C177" s="73"/>
      <c r="D177" s="7"/>
      <c r="E177" s="73"/>
      <c r="F177" s="134"/>
      <c r="G177" s="74">
        <v>1</v>
      </c>
      <c r="H177" s="136">
        <f t="shared" si="18"/>
        <v>0</v>
      </c>
      <c r="I177" s="76"/>
      <c r="J177" s="131"/>
      <c r="K177" s="77">
        <v>1</v>
      </c>
      <c r="L177" s="136">
        <f t="shared" si="19"/>
        <v>0</v>
      </c>
      <c r="M177" s="76"/>
      <c r="N177" s="137">
        <f t="shared" si="20"/>
        <v>0</v>
      </c>
      <c r="O177" s="79" t="str">
        <f t="shared" si="21"/>
        <v/>
      </c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</row>
    <row r="178" spans="1:63" x14ac:dyDescent="0.3">
      <c r="B178" s="10"/>
      <c r="C178" s="73"/>
      <c r="D178" s="7"/>
      <c r="E178" s="73"/>
      <c r="F178" s="134"/>
      <c r="G178" s="74">
        <v>1</v>
      </c>
      <c r="H178" s="136">
        <f t="shared" si="18"/>
        <v>0</v>
      </c>
      <c r="I178" s="76"/>
      <c r="J178" s="131"/>
      <c r="K178" s="77">
        <v>1</v>
      </c>
      <c r="L178" s="136">
        <f t="shared" si="19"/>
        <v>0</v>
      </c>
      <c r="M178" s="76"/>
      <c r="N178" s="137">
        <f t="shared" si="20"/>
        <v>0</v>
      </c>
      <c r="O178" s="79" t="str">
        <f t="shared" si="21"/>
        <v/>
      </c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</row>
    <row r="179" spans="1:63" x14ac:dyDescent="0.3">
      <c r="B179" s="73" t="s">
        <v>26</v>
      </c>
      <c r="C179" s="73"/>
      <c r="D179" s="7" t="s">
        <v>67</v>
      </c>
      <c r="E179" s="73"/>
      <c r="F179" s="135">
        <v>3.6776</v>
      </c>
      <c r="G179" s="74">
        <f>$F168</f>
        <v>300</v>
      </c>
      <c r="H179" s="136">
        <f t="shared" si="18"/>
        <v>1103.28</v>
      </c>
      <c r="I179" s="76"/>
      <c r="J179" s="132">
        <v>4.6319999999999997</v>
      </c>
      <c r="K179" s="74">
        <f>$F168</f>
        <v>300</v>
      </c>
      <c r="L179" s="136">
        <f t="shared" si="19"/>
        <v>1389.6</v>
      </c>
      <c r="M179" s="76"/>
      <c r="N179" s="137">
        <f t="shared" si="20"/>
        <v>286.31999999999994</v>
      </c>
      <c r="O179" s="79">
        <f t="shared" si="21"/>
        <v>0.25951707635414395</v>
      </c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</row>
    <row r="180" spans="1:63" x14ac:dyDescent="0.3">
      <c r="B180" s="73" t="s">
        <v>28</v>
      </c>
      <c r="C180" s="73"/>
      <c r="D180" s="7" t="s">
        <v>24</v>
      </c>
      <c r="E180" s="73"/>
      <c r="F180" s="135"/>
      <c r="G180" s="74">
        <v>1</v>
      </c>
      <c r="H180" s="136">
        <f t="shared" si="18"/>
        <v>0</v>
      </c>
      <c r="I180" s="76"/>
      <c r="J180" s="132"/>
      <c r="K180" s="74">
        <v>1</v>
      </c>
      <c r="L180" s="136">
        <f t="shared" si="19"/>
        <v>0</v>
      </c>
      <c r="M180" s="76"/>
      <c r="N180" s="137">
        <f t="shared" si="20"/>
        <v>0</v>
      </c>
      <c r="O180" s="79" t="str">
        <f t="shared" si="21"/>
        <v/>
      </c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</row>
    <row r="181" spans="1:63" x14ac:dyDescent="0.3">
      <c r="B181" s="73" t="s">
        <v>29</v>
      </c>
      <c r="C181" s="73"/>
      <c r="D181" s="7" t="s">
        <v>67</v>
      </c>
      <c r="E181" s="73"/>
      <c r="F181" s="135">
        <v>3.3E-3</v>
      </c>
      <c r="G181" s="74">
        <f>$F168</f>
        <v>300</v>
      </c>
      <c r="H181" s="136">
        <f t="shared" si="18"/>
        <v>0.99</v>
      </c>
      <c r="I181" s="76"/>
      <c r="J181" s="171">
        <v>0</v>
      </c>
      <c r="K181" s="74">
        <f>$F168</f>
        <v>300</v>
      </c>
      <c r="L181" s="136">
        <f t="shared" si="19"/>
        <v>0</v>
      </c>
      <c r="M181" s="76"/>
      <c r="N181" s="137">
        <f t="shared" si="20"/>
        <v>-0.99</v>
      </c>
      <c r="O181" s="79">
        <f t="shared" si="21"/>
        <v>-1</v>
      </c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</row>
    <row r="182" spans="1:63" x14ac:dyDescent="0.3">
      <c r="B182" s="11" t="s">
        <v>30</v>
      </c>
      <c r="C182" s="73"/>
      <c r="D182" s="7" t="s">
        <v>67</v>
      </c>
      <c r="E182" s="73"/>
      <c r="F182" s="135">
        <v>0.25109999999999999</v>
      </c>
      <c r="G182" s="74">
        <f>$F168</f>
        <v>300</v>
      </c>
      <c r="H182" s="136">
        <f t="shared" si="18"/>
        <v>75.33</v>
      </c>
      <c r="I182" s="76"/>
      <c r="J182" s="132"/>
      <c r="K182" s="74">
        <f>$F168</f>
        <v>300</v>
      </c>
      <c r="L182" s="136">
        <f t="shared" si="19"/>
        <v>0</v>
      </c>
      <c r="M182" s="76"/>
      <c r="N182" s="137">
        <f t="shared" si="20"/>
        <v>-75.33</v>
      </c>
      <c r="O182" s="79">
        <f t="shared" si="21"/>
        <v>-1</v>
      </c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  <c r="AA182" s="126"/>
      <c r="AB182" s="126"/>
      <c r="AC182" s="126"/>
    </row>
    <row r="183" spans="1:63" x14ac:dyDescent="0.3">
      <c r="B183" s="11" t="s">
        <v>31</v>
      </c>
      <c r="C183" s="73"/>
      <c r="D183" s="7" t="s">
        <v>67</v>
      </c>
      <c r="E183" s="73"/>
      <c r="F183" s="135">
        <v>-4.65E-2</v>
      </c>
      <c r="G183" s="74">
        <f>$F168</f>
        <v>300</v>
      </c>
      <c r="H183" s="136">
        <f t="shared" si="18"/>
        <v>-13.95</v>
      </c>
      <c r="I183" s="76"/>
      <c r="J183" s="132"/>
      <c r="K183" s="74">
        <f>$F168</f>
        <v>300</v>
      </c>
      <c r="L183" s="136">
        <f t="shared" si="19"/>
        <v>0</v>
      </c>
      <c r="M183" s="76"/>
      <c r="N183" s="137">
        <f t="shared" si="20"/>
        <v>13.95</v>
      </c>
      <c r="O183" s="79">
        <f t="shared" si="21"/>
        <v>-1</v>
      </c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  <c r="AB183" s="126"/>
      <c r="AC183" s="126"/>
    </row>
    <row r="184" spans="1:63" x14ac:dyDescent="0.3">
      <c r="B184" s="11" t="s">
        <v>32</v>
      </c>
      <c r="C184" s="73"/>
      <c r="D184" s="7" t="s">
        <v>24</v>
      </c>
      <c r="E184" s="73"/>
      <c r="F184" s="135"/>
      <c r="G184" s="74">
        <v>1</v>
      </c>
      <c r="H184" s="136">
        <f t="shared" si="18"/>
        <v>0</v>
      </c>
      <c r="I184" s="76"/>
      <c r="J184" s="132"/>
      <c r="K184" s="74">
        <v>1</v>
      </c>
      <c r="L184" s="136">
        <f t="shared" si="19"/>
        <v>0</v>
      </c>
      <c r="M184" s="76"/>
      <c r="N184" s="137">
        <f t="shared" si="20"/>
        <v>0</v>
      </c>
      <c r="O184" s="79" t="str">
        <f t="shared" si="21"/>
        <v/>
      </c>
      <c r="Q184" s="126"/>
      <c r="R184" s="126"/>
      <c r="S184" s="126"/>
      <c r="T184" s="126"/>
      <c r="U184" s="126"/>
      <c r="V184" s="126"/>
      <c r="W184" s="126"/>
      <c r="X184" s="126"/>
      <c r="Y184" s="126"/>
      <c r="Z184" s="126"/>
      <c r="AA184" s="126"/>
      <c r="AB184" s="126"/>
      <c r="AC184" s="126"/>
    </row>
    <row r="185" spans="1:63" x14ac:dyDescent="0.3">
      <c r="B185" s="12" t="str">
        <f>+Residential!$B$35</f>
        <v>Rate Rider for Disposition of Account 1576</v>
      </c>
      <c r="C185" s="73"/>
      <c r="D185" s="7" t="s">
        <v>67</v>
      </c>
      <c r="E185" s="73"/>
      <c r="F185" s="134"/>
      <c r="G185" s="74">
        <f>$F168</f>
        <v>300</v>
      </c>
      <c r="H185" s="136">
        <f t="shared" si="18"/>
        <v>0</v>
      </c>
      <c r="I185" s="76"/>
      <c r="J185" s="132">
        <v>-0.21049999999999999</v>
      </c>
      <c r="K185" s="74">
        <f>$F168</f>
        <v>300</v>
      </c>
      <c r="L185" s="136">
        <f t="shared" si="19"/>
        <v>-63.15</v>
      </c>
      <c r="M185" s="76"/>
      <c r="N185" s="137">
        <f t="shared" si="20"/>
        <v>-63.15</v>
      </c>
      <c r="O185" s="79" t="str">
        <f t="shared" si="21"/>
        <v/>
      </c>
      <c r="Q185" s="126"/>
      <c r="R185" s="126"/>
      <c r="S185" s="126"/>
      <c r="T185" s="126"/>
      <c r="U185" s="126"/>
      <c r="V185" s="126"/>
      <c r="W185" s="126"/>
      <c r="X185" s="126"/>
      <c r="Y185" s="126"/>
      <c r="Z185" s="126"/>
      <c r="AA185" s="126"/>
      <c r="AB185" s="126"/>
      <c r="AC185" s="126"/>
    </row>
    <row r="186" spans="1:63" x14ac:dyDescent="0.3">
      <c r="B186" s="12" t="str">
        <f>+Residential!$B$36</f>
        <v xml:space="preserve">Rate Rider for Disposition of CGAAP CWIP differential </v>
      </c>
      <c r="C186" s="73"/>
      <c r="D186" s="7" t="s">
        <v>67</v>
      </c>
      <c r="E186" s="73"/>
      <c r="F186" s="134"/>
      <c r="G186" s="74">
        <f>$F168</f>
        <v>300</v>
      </c>
      <c r="H186" s="136">
        <f t="shared" si="18"/>
        <v>0</v>
      </c>
      <c r="I186" s="76"/>
      <c r="J186" s="132">
        <v>0.1138</v>
      </c>
      <c r="K186" s="74">
        <f>$F168</f>
        <v>300</v>
      </c>
      <c r="L186" s="136">
        <f t="shared" si="19"/>
        <v>34.14</v>
      </c>
      <c r="M186" s="76"/>
      <c r="N186" s="137">
        <f t="shared" si="20"/>
        <v>34.14</v>
      </c>
      <c r="O186" s="79" t="str">
        <f t="shared" si="21"/>
        <v/>
      </c>
      <c r="Q186" s="126"/>
      <c r="R186" s="126"/>
      <c r="S186" s="126"/>
      <c r="T186" s="126"/>
      <c r="U186" s="126"/>
      <c r="V186" s="126"/>
      <c r="W186" s="126"/>
      <c r="X186" s="126"/>
      <c r="Y186" s="126"/>
      <c r="Z186" s="126"/>
      <c r="AA186" s="126"/>
      <c r="AB186" s="126"/>
      <c r="AC186" s="126"/>
    </row>
    <row r="187" spans="1:63" x14ac:dyDescent="0.3">
      <c r="B187" s="12" t="str">
        <f>+Residential!$B$37</f>
        <v xml:space="preserve">Rate Rider for Disposition of Incremental Capital Expenditures </v>
      </c>
      <c r="C187" s="73"/>
      <c r="D187" s="7" t="s">
        <v>67</v>
      </c>
      <c r="E187" s="73"/>
      <c r="F187" s="131"/>
      <c r="G187" s="74">
        <f>$F168</f>
        <v>300</v>
      </c>
      <c r="H187" s="136">
        <f t="shared" si="18"/>
        <v>0</v>
      </c>
      <c r="I187" s="76"/>
      <c r="J187" s="132">
        <v>6.8199999999999997E-2</v>
      </c>
      <c r="K187" s="74">
        <f>$F168</f>
        <v>300</v>
      </c>
      <c r="L187" s="136">
        <f t="shared" si="19"/>
        <v>20.459999999999997</v>
      </c>
      <c r="M187" s="76"/>
      <c r="N187" s="137">
        <f t="shared" si="20"/>
        <v>20.459999999999997</v>
      </c>
      <c r="O187" s="79" t="str">
        <f t="shared" si="21"/>
        <v/>
      </c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  <c r="AB187" s="126"/>
      <c r="AC187" s="126"/>
    </row>
    <row r="188" spans="1:63" x14ac:dyDescent="0.3">
      <c r="B188" s="12"/>
      <c r="C188" s="73"/>
      <c r="D188" s="7"/>
      <c r="E188" s="73"/>
      <c r="F188" s="131"/>
      <c r="G188" s="74">
        <f>$F168</f>
        <v>300</v>
      </c>
      <c r="H188" s="136">
        <f t="shared" si="18"/>
        <v>0</v>
      </c>
      <c r="I188" s="76"/>
      <c r="J188" s="131"/>
      <c r="K188" s="74">
        <f>$F168</f>
        <v>300</v>
      </c>
      <c r="L188" s="136">
        <f t="shared" si="19"/>
        <v>0</v>
      </c>
      <c r="M188" s="76"/>
      <c r="N188" s="137">
        <f t="shared" si="20"/>
        <v>0</v>
      </c>
      <c r="O188" s="79" t="str">
        <f t="shared" si="21"/>
        <v/>
      </c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  <c r="AB188" s="126"/>
      <c r="AC188" s="126"/>
    </row>
    <row r="189" spans="1:63" s="4" customFormat="1" x14ac:dyDescent="0.3">
      <c r="A189" s="60"/>
      <c r="B189" s="19" t="s">
        <v>33</v>
      </c>
      <c r="C189" s="20"/>
      <c r="D189" s="20"/>
      <c r="E189" s="20"/>
      <c r="F189" s="21"/>
      <c r="G189" s="22"/>
      <c r="H189" s="23">
        <f>SUM(H173:H188)</f>
        <v>1284.0999999999999</v>
      </c>
      <c r="I189" s="13"/>
      <c r="J189" s="14"/>
      <c r="K189" s="24"/>
      <c r="L189" s="23">
        <f>SUM(L173:L188)</f>
        <v>1499.5</v>
      </c>
      <c r="M189" s="13"/>
      <c r="N189" s="15">
        <f t="shared" si="20"/>
        <v>215.40000000000009</v>
      </c>
      <c r="O189" s="16">
        <f t="shared" si="21"/>
        <v>0.16774394517560945</v>
      </c>
      <c r="P189" s="60"/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6"/>
      <c r="AC189" s="126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</row>
    <row r="190" spans="1:63" x14ac:dyDescent="0.3">
      <c r="B190" s="17" t="s">
        <v>34</v>
      </c>
      <c r="C190" s="73"/>
      <c r="D190" s="7" t="s">
        <v>67</v>
      </c>
      <c r="E190" s="73"/>
      <c r="F190" s="135">
        <v>9.5299999999999996E-2</v>
      </c>
      <c r="G190" s="74">
        <f>$F168</f>
        <v>300</v>
      </c>
      <c r="H190" s="136">
        <f t="shared" ref="H190:H196" si="22">G190*F190</f>
        <v>28.59</v>
      </c>
      <c r="I190" s="76"/>
      <c r="J190" s="132">
        <v>-0.52270000000000005</v>
      </c>
      <c r="K190" s="74">
        <f>$F168</f>
        <v>300</v>
      </c>
      <c r="L190" s="136">
        <f t="shared" ref="L190:L196" si="23">K190*J190</f>
        <v>-156.81</v>
      </c>
      <c r="M190" s="76"/>
      <c r="N190" s="137">
        <f t="shared" si="20"/>
        <v>-185.4</v>
      </c>
      <c r="O190" s="79">
        <f t="shared" si="21"/>
        <v>-6.4847848898216158</v>
      </c>
      <c r="Q190" s="126"/>
      <c r="R190" s="126"/>
      <c r="S190" s="126"/>
      <c r="T190" s="126"/>
      <c r="U190" s="126"/>
      <c r="V190" s="126"/>
      <c r="W190" s="126"/>
      <c r="X190" s="126"/>
      <c r="Y190" s="126"/>
      <c r="Z190" s="126"/>
      <c r="AA190" s="126"/>
      <c r="AB190" s="126"/>
      <c r="AC190" s="126"/>
    </row>
    <row r="191" spans="1:63" x14ac:dyDescent="0.3">
      <c r="B191" s="17"/>
      <c r="C191" s="73"/>
      <c r="D191" s="7"/>
      <c r="E191" s="73"/>
      <c r="F191" s="8"/>
      <c r="G191" s="74">
        <f>$F168</f>
        <v>300</v>
      </c>
      <c r="H191" s="136">
        <f t="shared" si="22"/>
        <v>0</v>
      </c>
      <c r="I191" s="82"/>
      <c r="J191" s="8"/>
      <c r="K191" s="74">
        <f>$F168</f>
        <v>300</v>
      </c>
      <c r="L191" s="136">
        <f t="shared" si="23"/>
        <v>0</v>
      </c>
      <c r="M191" s="83"/>
      <c r="N191" s="137">
        <f t="shared" si="20"/>
        <v>0</v>
      </c>
      <c r="O191" s="79" t="str">
        <f t="shared" si="21"/>
        <v/>
      </c>
      <c r="Q191" s="126"/>
      <c r="R191" s="126"/>
      <c r="S191" s="126"/>
      <c r="T191" s="126"/>
      <c r="U191" s="126"/>
      <c r="V191" s="126"/>
      <c r="W191" s="126"/>
      <c r="X191" s="126"/>
      <c r="Y191" s="126"/>
      <c r="Z191" s="126"/>
      <c r="AA191" s="126"/>
      <c r="AB191" s="126"/>
      <c r="AC191" s="126"/>
    </row>
    <row r="192" spans="1:63" x14ac:dyDescent="0.3">
      <c r="B192" s="17"/>
      <c r="C192" s="73"/>
      <c r="D192" s="7"/>
      <c r="E192" s="73"/>
      <c r="F192" s="8"/>
      <c r="G192" s="74">
        <f>$F168</f>
        <v>300</v>
      </c>
      <c r="H192" s="136">
        <f t="shared" si="22"/>
        <v>0</v>
      </c>
      <c r="I192" s="82"/>
      <c r="J192" s="8"/>
      <c r="K192" s="74">
        <f>$F168</f>
        <v>300</v>
      </c>
      <c r="L192" s="136">
        <f t="shared" si="23"/>
        <v>0</v>
      </c>
      <c r="M192" s="83"/>
      <c r="N192" s="137">
        <f t="shared" si="20"/>
        <v>0</v>
      </c>
      <c r="O192" s="79" t="str">
        <f t="shared" si="21"/>
        <v/>
      </c>
      <c r="Q192" s="126"/>
      <c r="R192" s="126"/>
      <c r="S192" s="126"/>
      <c r="T192" s="126"/>
      <c r="U192" s="126"/>
      <c r="V192" s="126"/>
      <c r="W192" s="126"/>
      <c r="X192" s="126"/>
      <c r="Y192" s="126"/>
      <c r="Z192" s="126"/>
      <c r="AA192" s="126"/>
      <c r="AB192" s="126"/>
      <c r="AC192" s="126"/>
    </row>
    <row r="193" spans="1:63" x14ac:dyDescent="0.3">
      <c r="B193" s="17"/>
      <c r="C193" s="73"/>
      <c r="D193" s="7"/>
      <c r="E193" s="73"/>
      <c r="F193" s="8"/>
      <c r="G193" s="74">
        <f>$F168</f>
        <v>300</v>
      </c>
      <c r="H193" s="136">
        <f t="shared" si="22"/>
        <v>0</v>
      </c>
      <c r="I193" s="82"/>
      <c r="J193" s="8"/>
      <c r="K193" s="74">
        <f>$F168</f>
        <v>300</v>
      </c>
      <c r="L193" s="136">
        <f t="shared" si="23"/>
        <v>0</v>
      </c>
      <c r="M193" s="83"/>
      <c r="N193" s="137">
        <f t="shared" si="20"/>
        <v>0</v>
      </c>
      <c r="O193" s="79" t="str">
        <f t="shared" si="21"/>
        <v/>
      </c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6"/>
      <c r="AC193" s="126"/>
    </row>
    <row r="194" spans="1:63" x14ac:dyDescent="0.3">
      <c r="B194" s="80" t="s">
        <v>35</v>
      </c>
      <c r="C194" s="73"/>
      <c r="D194" s="7" t="s">
        <v>67</v>
      </c>
      <c r="E194" s="73"/>
      <c r="F194" s="135">
        <v>6.3799999999999996E-2</v>
      </c>
      <c r="G194" s="74">
        <f>$F168</f>
        <v>300</v>
      </c>
      <c r="H194" s="136">
        <f t="shared" si="22"/>
        <v>19.139999999999997</v>
      </c>
      <c r="I194" s="76"/>
      <c r="J194" s="132">
        <v>0.1313</v>
      </c>
      <c r="K194" s="74">
        <f>$F168</f>
        <v>300</v>
      </c>
      <c r="L194" s="136">
        <f t="shared" si="23"/>
        <v>39.39</v>
      </c>
      <c r="M194" s="76"/>
      <c r="N194" s="137">
        <f t="shared" si="20"/>
        <v>20.250000000000004</v>
      </c>
      <c r="O194" s="79">
        <f t="shared" si="21"/>
        <v>1.0579937304075238</v>
      </c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</row>
    <row r="195" spans="1:63" x14ac:dyDescent="0.3">
      <c r="B195" s="80" t="s">
        <v>36</v>
      </c>
      <c r="C195" s="73"/>
      <c r="D195" s="7" t="s">
        <v>27</v>
      </c>
      <c r="E195" s="73"/>
      <c r="F195" s="138">
        <f>IF(ISBLANK(D166)=TRUE, 0, IF(D166="TOU", 0.64*$F205+0.18*$F206+0.18*$F207, IF(AND(D166="non-TOU", G209&gt;0), F209,F208)))</f>
        <v>8.7999999999999995E-2</v>
      </c>
      <c r="G195" s="18">
        <f>$F169*(1+$F224)-$F169</f>
        <v>4524.0000000000146</v>
      </c>
      <c r="H195" s="136">
        <f t="shared" si="22"/>
        <v>398.11200000000127</v>
      </c>
      <c r="I195" s="76"/>
      <c r="J195" s="138">
        <f>+F195</f>
        <v>8.7999999999999995E-2</v>
      </c>
      <c r="K195" s="18">
        <f>$F169*(1+$J224)-$F169</f>
        <v>4512.0000000000146</v>
      </c>
      <c r="L195" s="136">
        <f t="shared" si="23"/>
        <v>397.05600000000123</v>
      </c>
      <c r="M195" s="76"/>
      <c r="N195" s="137">
        <f t="shared" si="20"/>
        <v>-1.05600000000004</v>
      </c>
      <c r="O195" s="79">
        <f t="shared" si="21"/>
        <v>-2.6525198938992965E-3</v>
      </c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  <c r="AB195" s="126"/>
      <c r="AC195" s="126"/>
    </row>
    <row r="196" spans="1:63" x14ac:dyDescent="0.3">
      <c r="B196" s="80" t="s">
        <v>37</v>
      </c>
      <c r="C196" s="73"/>
      <c r="D196" s="7" t="s">
        <v>24</v>
      </c>
      <c r="E196" s="73"/>
      <c r="F196" s="138">
        <v>0</v>
      </c>
      <c r="G196" s="74">
        <v>1</v>
      </c>
      <c r="H196" s="136">
        <f t="shared" si="22"/>
        <v>0</v>
      </c>
      <c r="I196" s="76"/>
      <c r="J196" s="138"/>
      <c r="K196" s="81">
        <v>1</v>
      </c>
      <c r="L196" s="136">
        <f t="shared" si="23"/>
        <v>0</v>
      </c>
      <c r="M196" s="76"/>
      <c r="N196" s="137">
        <f t="shared" si="20"/>
        <v>0</v>
      </c>
      <c r="O196" s="79"/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</row>
    <row r="197" spans="1:63" s="4" customFormat="1" x14ac:dyDescent="0.3">
      <c r="A197" s="60"/>
      <c r="B197" s="19" t="s">
        <v>38</v>
      </c>
      <c r="C197" s="20"/>
      <c r="D197" s="20"/>
      <c r="E197" s="20"/>
      <c r="F197" s="21"/>
      <c r="G197" s="22"/>
      <c r="H197" s="23">
        <f>SUM(H190:H196)+H189</f>
        <v>1729.9420000000011</v>
      </c>
      <c r="I197" s="13"/>
      <c r="J197" s="22"/>
      <c r="K197" s="24"/>
      <c r="L197" s="23">
        <f>SUM(L190:L196)+L189</f>
        <v>1779.1360000000013</v>
      </c>
      <c r="M197" s="13"/>
      <c r="N197" s="15">
        <f t="shared" si="20"/>
        <v>49.194000000000187</v>
      </c>
      <c r="O197" s="16">
        <f t="shared" ref="O197:O209" si="24">IF((H197)=0,"",(N197/H197))</f>
        <v>2.8436791522490439E-2</v>
      </c>
      <c r="P197" s="60"/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0"/>
      <c r="AY197" s="60"/>
      <c r="AZ197" s="60"/>
      <c r="BA197" s="60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</row>
    <row r="198" spans="1:63" x14ac:dyDescent="0.3">
      <c r="B198" s="76" t="s">
        <v>39</v>
      </c>
      <c r="C198" s="76"/>
      <c r="D198" s="25" t="s">
        <v>67</v>
      </c>
      <c r="E198" s="76"/>
      <c r="F198" s="135">
        <v>2.8561000000000001</v>
      </c>
      <c r="G198" s="18">
        <f>F168*(1+F224)</f>
        <v>311.31</v>
      </c>
      <c r="H198" s="136">
        <f>G198*F198</f>
        <v>889.13249100000007</v>
      </c>
      <c r="I198" s="76"/>
      <c r="J198" s="135">
        <f>+$J$48</f>
        <v>2.8328000000000002</v>
      </c>
      <c r="K198" s="18">
        <f>F168*(1+J224)</f>
        <v>311.28000000000003</v>
      </c>
      <c r="L198" s="136">
        <f>K198*J198</f>
        <v>881.79398400000014</v>
      </c>
      <c r="M198" s="76"/>
      <c r="N198" s="136">
        <f t="shared" si="20"/>
        <v>-7.3385069999999359</v>
      </c>
      <c r="O198" s="79">
        <f t="shared" si="24"/>
        <v>-8.2535584676996527E-3</v>
      </c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  <c r="AB198" s="126"/>
      <c r="AC198" s="126"/>
    </row>
    <row r="199" spans="1:63" x14ac:dyDescent="0.3">
      <c r="B199" s="85" t="s">
        <v>40</v>
      </c>
      <c r="C199" s="76"/>
      <c r="D199" s="25" t="s">
        <v>67</v>
      </c>
      <c r="E199" s="76"/>
      <c r="F199" s="135">
        <v>1.9374</v>
      </c>
      <c r="G199" s="18">
        <f>G198</f>
        <v>311.31</v>
      </c>
      <c r="H199" s="136">
        <f>G199*F199</f>
        <v>603.13199399999996</v>
      </c>
      <c r="I199" s="76"/>
      <c r="J199" s="135">
        <f>+$J$49</f>
        <v>1.8771</v>
      </c>
      <c r="K199" s="18">
        <f>K198</f>
        <v>311.28000000000003</v>
      </c>
      <c r="L199" s="136">
        <f>K199*J199</f>
        <v>584.30368800000008</v>
      </c>
      <c r="M199" s="76"/>
      <c r="N199" s="136">
        <f t="shared" si="20"/>
        <v>-18.828305999999884</v>
      </c>
      <c r="O199" s="79">
        <f t="shared" si="24"/>
        <v>-3.1217554676762654E-2</v>
      </c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</row>
    <row r="200" spans="1:63" s="4" customFormat="1" x14ac:dyDescent="0.3">
      <c r="A200" s="60"/>
      <c r="B200" s="19" t="s">
        <v>41</v>
      </c>
      <c r="C200" s="20"/>
      <c r="D200" s="20"/>
      <c r="E200" s="20"/>
      <c r="F200" s="21"/>
      <c r="G200" s="22"/>
      <c r="H200" s="23">
        <f>SUM(H197:H199)</f>
        <v>3222.2064850000011</v>
      </c>
      <c r="I200" s="13"/>
      <c r="J200" s="26"/>
      <c r="K200" s="22"/>
      <c r="L200" s="23">
        <f>SUM(L197:L199)</f>
        <v>3245.2336720000012</v>
      </c>
      <c r="M200" s="13"/>
      <c r="N200" s="15">
        <f t="shared" si="20"/>
        <v>23.02718700000014</v>
      </c>
      <c r="O200" s="16">
        <f t="shared" si="24"/>
        <v>7.1464032820975883E-3</v>
      </c>
      <c r="P200" s="60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</row>
    <row r="201" spans="1:63" x14ac:dyDescent="0.3">
      <c r="B201" s="86" t="s">
        <v>42</v>
      </c>
      <c r="C201" s="73"/>
      <c r="D201" s="7" t="s">
        <v>27</v>
      </c>
      <c r="E201" s="73"/>
      <c r="F201" s="135">
        <v>4.4000000000000003E-3</v>
      </c>
      <c r="G201" s="18">
        <f>F169*(1+F224)</f>
        <v>124524.00000000001</v>
      </c>
      <c r="H201" s="139">
        <f t="shared" ref="H201:H209" si="25">G201*F201</f>
        <v>547.90560000000005</v>
      </c>
      <c r="I201" s="76"/>
      <c r="J201" s="135">
        <f>+F201</f>
        <v>4.4000000000000003E-3</v>
      </c>
      <c r="K201" s="18">
        <f>F169*(1+J224)</f>
        <v>124512.00000000001</v>
      </c>
      <c r="L201" s="139">
        <f t="shared" ref="L201:L209" si="26">K201*J201</f>
        <v>547.85280000000012</v>
      </c>
      <c r="M201" s="76"/>
      <c r="N201" s="137">
        <f t="shared" si="20"/>
        <v>-5.2799999999933789E-2</v>
      </c>
      <c r="O201" s="87">
        <f t="shared" si="24"/>
        <v>-9.6366965404138567E-5</v>
      </c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26"/>
    </row>
    <row r="202" spans="1:63" x14ac:dyDescent="0.3">
      <c r="B202" s="86" t="s">
        <v>43</v>
      </c>
      <c r="C202" s="73"/>
      <c r="D202" s="7" t="s">
        <v>27</v>
      </c>
      <c r="E202" s="73"/>
      <c r="F202" s="135">
        <v>1.1999999999999999E-3</v>
      </c>
      <c r="G202" s="18">
        <f>+G201</f>
        <v>124524.00000000001</v>
      </c>
      <c r="H202" s="139">
        <f t="shared" si="25"/>
        <v>149.4288</v>
      </c>
      <c r="I202" s="76"/>
      <c r="J202" s="135">
        <v>1.2999999999999999E-3</v>
      </c>
      <c r="K202" s="18">
        <f>+K201</f>
        <v>124512.00000000001</v>
      </c>
      <c r="L202" s="139">
        <f t="shared" si="26"/>
        <v>161.8656</v>
      </c>
      <c r="M202" s="76"/>
      <c r="N202" s="137">
        <f t="shared" si="20"/>
        <v>12.436800000000005</v>
      </c>
      <c r="O202" s="87">
        <f t="shared" si="24"/>
        <v>8.3228935787478753E-2</v>
      </c>
      <c r="Q202" s="126"/>
      <c r="R202" s="126"/>
      <c r="S202" s="126"/>
      <c r="T202" s="126"/>
      <c r="U202" s="126"/>
      <c r="V202" s="126"/>
      <c r="W202" s="126"/>
      <c r="X202" s="126"/>
      <c r="Y202" s="126"/>
      <c r="Z202" s="126"/>
      <c r="AA202" s="126"/>
      <c r="AB202" s="126"/>
      <c r="AC202" s="126"/>
    </row>
    <row r="203" spans="1:63" x14ac:dyDescent="0.3">
      <c r="B203" s="73" t="s">
        <v>44</v>
      </c>
      <c r="C203" s="73"/>
      <c r="D203" s="7" t="s">
        <v>24</v>
      </c>
      <c r="E203" s="73"/>
      <c r="F203" s="135">
        <v>0.25</v>
      </c>
      <c r="G203" s="81">
        <v>1</v>
      </c>
      <c r="H203" s="139">
        <f t="shared" si="25"/>
        <v>0.25</v>
      </c>
      <c r="I203" s="76"/>
      <c r="J203" s="135">
        <f>+F203</f>
        <v>0.25</v>
      </c>
      <c r="K203" s="77">
        <v>1</v>
      </c>
      <c r="L203" s="139">
        <f t="shared" si="26"/>
        <v>0.25</v>
      </c>
      <c r="M203" s="76"/>
      <c r="N203" s="137">
        <f t="shared" si="20"/>
        <v>0</v>
      </c>
      <c r="O203" s="87">
        <f t="shared" si="24"/>
        <v>0</v>
      </c>
      <c r="Q203" s="126"/>
      <c r="R203" s="126"/>
      <c r="S203" s="126"/>
      <c r="T203" s="126"/>
      <c r="U203" s="126"/>
      <c r="V203" s="126"/>
      <c r="W203" s="126"/>
      <c r="X203" s="126"/>
      <c r="Y203" s="126"/>
      <c r="Z203" s="126"/>
      <c r="AA203" s="126"/>
      <c r="AB203" s="126"/>
      <c r="AC203" s="126"/>
    </row>
    <row r="204" spans="1:63" x14ac:dyDescent="0.3">
      <c r="B204" s="73" t="s">
        <v>45</v>
      </c>
      <c r="C204" s="73"/>
      <c r="D204" s="7" t="s">
        <v>27</v>
      </c>
      <c r="E204" s="73"/>
      <c r="F204" s="135">
        <v>7.0000000000000001E-3</v>
      </c>
      <c r="G204" s="84">
        <f>F169</f>
        <v>120000</v>
      </c>
      <c r="H204" s="139">
        <f t="shared" si="25"/>
        <v>840</v>
      </c>
      <c r="I204" s="76"/>
      <c r="J204" s="135">
        <f>+F204</f>
        <v>7.0000000000000001E-3</v>
      </c>
      <c r="K204" s="77">
        <f>F169</f>
        <v>120000</v>
      </c>
      <c r="L204" s="139">
        <f t="shared" si="26"/>
        <v>840</v>
      </c>
      <c r="M204" s="76"/>
      <c r="N204" s="137">
        <f t="shared" si="20"/>
        <v>0</v>
      </c>
      <c r="O204" s="87">
        <f t="shared" si="24"/>
        <v>0</v>
      </c>
      <c r="Q204" s="126"/>
      <c r="R204" s="126"/>
      <c r="S204" s="126"/>
      <c r="T204" s="126"/>
      <c r="U204" s="126"/>
      <c r="V204" s="126"/>
      <c r="W204" s="126"/>
      <c r="X204" s="126"/>
      <c r="Y204" s="126"/>
      <c r="Z204" s="126"/>
      <c r="AA204" s="126"/>
      <c r="AB204" s="126"/>
      <c r="AC204" s="126"/>
    </row>
    <row r="205" spans="1:63" x14ac:dyDescent="0.3">
      <c r="B205" s="80" t="s">
        <v>46</v>
      </c>
      <c r="C205" s="73"/>
      <c r="D205" s="7" t="s">
        <v>27</v>
      </c>
      <c r="E205" s="73"/>
      <c r="F205" s="138">
        <v>6.7000000000000004E-2</v>
      </c>
      <c r="G205" s="27">
        <f>0.64*$F169</f>
        <v>76800</v>
      </c>
      <c r="H205" s="139">
        <f t="shared" si="25"/>
        <v>5145.6000000000004</v>
      </c>
      <c r="I205" s="76"/>
      <c r="J205" s="138">
        <v>6.7000000000000004E-2</v>
      </c>
      <c r="K205" s="28">
        <f>G205</f>
        <v>76800</v>
      </c>
      <c r="L205" s="139">
        <f t="shared" si="26"/>
        <v>5145.6000000000004</v>
      </c>
      <c r="M205" s="76"/>
      <c r="N205" s="137">
        <f t="shared" si="20"/>
        <v>0</v>
      </c>
      <c r="O205" s="87">
        <f t="shared" si="24"/>
        <v>0</v>
      </c>
      <c r="Q205" s="126"/>
      <c r="R205" s="126"/>
      <c r="S205" s="127"/>
      <c r="T205" s="126"/>
      <c r="U205" s="126"/>
      <c r="V205" s="126"/>
      <c r="W205" s="126"/>
      <c r="X205" s="126"/>
      <c r="Y205" s="126"/>
      <c r="Z205" s="126"/>
      <c r="AA205" s="126"/>
      <c r="AB205" s="126"/>
      <c r="AC205" s="126"/>
    </row>
    <row r="206" spans="1:63" x14ac:dyDescent="0.3">
      <c r="B206" s="80" t="s">
        <v>47</v>
      </c>
      <c r="C206" s="73"/>
      <c r="D206" s="7" t="s">
        <v>27</v>
      </c>
      <c r="E206" s="73"/>
      <c r="F206" s="138">
        <v>0.104</v>
      </c>
      <c r="G206" s="27">
        <f>0.18*$F169</f>
        <v>21600</v>
      </c>
      <c r="H206" s="139">
        <f t="shared" si="25"/>
        <v>2246.4</v>
      </c>
      <c r="I206" s="76"/>
      <c r="J206" s="138">
        <v>0.104</v>
      </c>
      <c r="K206" s="28">
        <f>G206</f>
        <v>21600</v>
      </c>
      <c r="L206" s="139">
        <f t="shared" si="26"/>
        <v>2246.4</v>
      </c>
      <c r="M206" s="76"/>
      <c r="N206" s="137">
        <f t="shared" si="20"/>
        <v>0</v>
      </c>
      <c r="O206" s="87">
        <f t="shared" si="24"/>
        <v>0</v>
      </c>
      <c r="Q206" s="126"/>
      <c r="R206" s="126"/>
      <c r="S206" s="127"/>
      <c r="T206" s="126"/>
      <c r="U206" s="126"/>
      <c r="V206" s="126"/>
      <c r="W206" s="126"/>
      <c r="X206" s="126"/>
      <c r="Y206" s="126"/>
      <c r="Z206" s="126"/>
      <c r="AA206" s="126"/>
      <c r="AB206" s="126"/>
      <c r="AC206" s="126"/>
    </row>
    <row r="207" spans="1:63" x14ac:dyDescent="0.3">
      <c r="B207" s="64" t="s">
        <v>48</v>
      </c>
      <c r="C207" s="73"/>
      <c r="D207" s="7" t="s">
        <v>27</v>
      </c>
      <c r="E207" s="73"/>
      <c r="F207" s="138">
        <v>0.124</v>
      </c>
      <c r="G207" s="27">
        <f>0.18*$F169</f>
        <v>21600</v>
      </c>
      <c r="H207" s="139">
        <f t="shared" si="25"/>
        <v>2678.4</v>
      </c>
      <c r="I207" s="76"/>
      <c r="J207" s="138">
        <v>0.124</v>
      </c>
      <c r="K207" s="28">
        <f>G207</f>
        <v>21600</v>
      </c>
      <c r="L207" s="139">
        <f t="shared" si="26"/>
        <v>2678.4</v>
      </c>
      <c r="M207" s="76"/>
      <c r="N207" s="137">
        <f t="shared" si="20"/>
        <v>0</v>
      </c>
      <c r="O207" s="87">
        <f t="shared" si="24"/>
        <v>0</v>
      </c>
      <c r="Q207" s="126"/>
      <c r="R207" s="126"/>
      <c r="S207" s="127"/>
      <c r="T207" s="126"/>
      <c r="U207" s="126"/>
      <c r="V207" s="126"/>
      <c r="W207" s="126"/>
      <c r="X207" s="126"/>
      <c r="Y207" s="126"/>
      <c r="Z207" s="126"/>
      <c r="AA207" s="126"/>
      <c r="AB207" s="126"/>
      <c r="AC207" s="126"/>
    </row>
    <row r="208" spans="1:63" s="92" customFormat="1" x14ac:dyDescent="0.25">
      <c r="B208" s="89" t="s">
        <v>49</v>
      </c>
      <c r="C208" s="90"/>
      <c r="D208" s="29" t="s">
        <v>27</v>
      </c>
      <c r="E208" s="90"/>
      <c r="F208" s="138">
        <v>7.4999999999999997E-2</v>
      </c>
      <c r="G208" s="30">
        <f>IF(AND($T$1=1, F169&gt;=750), 750, IF(AND($T$1=1, AND(F169&lt;750, F169&gt;=0)), F169, IF(AND($T$1=2, F169&gt;=750), 750, IF(AND($T$1=2, AND(F169&lt;750, F169&gt;=0)), F169))))</f>
        <v>750</v>
      </c>
      <c r="H208" s="139">
        <f t="shared" si="25"/>
        <v>56.25</v>
      </c>
      <c r="I208" s="91"/>
      <c r="J208" s="138">
        <v>7.4999999999999997E-2</v>
      </c>
      <c r="K208" s="31">
        <f>G208</f>
        <v>750</v>
      </c>
      <c r="L208" s="139">
        <f t="shared" si="26"/>
        <v>56.25</v>
      </c>
      <c r="M208" s="91"/>
      <c r="N208" s="140">
        <f t="shared" si="20"/>
        <v>0</v>
      </c>
      <c r="O208" s="87">
        <f t="shared" si="24"/>
        <v>0</v>
      </c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</row>
    <row r="209" spans="1:63" s="92" customFormat="1" ht="15" thickBot="1" x14ac:dyDescent="0.3">
      <c r="B209" s="89" t="s">
        <v>50</v>
      </c>
      <c r="C209" s="90"/>
      <c r="D209" s="29" t="s">
        <v>27</v>
      </c>
      <c r="E209" s="90"/>
      <c r="F209" s="138">
        <v>8.7999999999999995E-2</v>
      </c>
      <c r="G209" s="30">
        <f>IF(AND($T$1=1, F169&gt;=750), F169-750, IF(AND($T$1=1, AND(F169&lt;750, F169&gt;=0)), 0, IF(AND($T$1=2, F169&gt;=750), F169-750, IF(AND($T$1=2, AND(F169&lt;750, F169&gt;=0)), 0))))</f>
        <v>119250</v>
      </c>
      <c r="H209" s="139">
        <f t="shared" si="25"/>
        <v>10494</v>
      </c>
      <c r="I209" s="91"/>
      <c r="J209" s="138">
        <v>8.7999999999999995E-2</v>
      </c>
      <c r="K209" s="31">
        <f>G209</f>
        <v>119250</v>
      </c>
      <c r="L209" s="139">
        <f t="shared" si="26"/>
        <v>10494</v>
      </c>
      <c r="M209" s="91"/>
      <c r="N209" s="140">
        <f t="shared" si="20"/>
        <v>0</v>
      </c>
      <c r="O209" s="87">
        <f t="shared" si="24"/>
        <v>0</v>
      </c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  <c r="AB209" s="128"/>
      <c r="AC209" s="128"/>
    </row>
    <row r="210" spans="1:63" s="4" customFormat="1" ht="15" thickBot="1" x14ac:dyDescent="0.35">
      <c r="A210" s="60"/>
      <c r="B210" s="32"/>
      <c r="C210" s="33"/>
      <c r="D210" s="124"/>
      <c r="E210" s="33"/>
      <c r="F210" s="35"/>
      <c r="G210" s="36"/>
      <c r="H210" s="122"/>
      <c r="I210" s="123"/>
      <c r="J210" s="35"/>
      <c r="K210" s="39"/>
      <c r="L210" s="122"/>
      <c r="M210" s="123"/>
      <c r="N210" s="40"/>
      <c r="O210" s="41"/>
      <c r="P210" s="60"/>
      <c r="Q210" s="126"/>
      <c r="R210" s="126"/>
      <c r="S210" s="126"/>
      <c r="T210" s="126"/>
      <c r="U210" s="126"/>
      <c r="V210" s="126"/>
      <c r="W210" s="126"/>
      <c r="X210" s="126"/>
      <c r="Y210" s="126"/>
      <c r="Z210" s="126"/>
      <c r="AA210" s="126"/>
      <c r="AB210" s="126"/>
      <c r="AC210" s="126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</row>
    <row r="211" spans="1:63" x14ac:dyDescent="0.3">
      <c r="B211" s="93" t="s">
        <v>51</v>
      </c>
      <c r="C211" s="73"/>
      <c r="D211" s="73"/>
      <c r="E211" s="73"/>
      <c r="F211" s="94"/>
      <c r="G211" s="95"/>
      <c r="H211" s="141">
        <f>SUM(H201:H207,H200)</f>
        <v>14830.190885</v>
      </c>
      <c r="I211" s="96"/>
      <c r="J211" s="97"/>
      <c r="K211" s="97"/>
      <c r="L211" s="144">
        <f>SUM(L201:L207,L200)</f>
        <v>14865.602072000001</v>
      </c>
      <c r="M211" s="145"/>
      <c r="N211" s="146">
        <f>L211-H211</f>
        <v>35.411187000001519</v>
      </c>
      <c r="O211" s="98">
        <f>IF((H211)=0,"",(N211/H211))</f>
        <v>2.3877768853142797E-3</v>
      </c>
      <c r="Q211" s="126"/>
      <c r="R211" s="126"/>
      <c r="S211" s="127"/>
      <c r="T211" s="126"/>
      <c r="U211" s="126"/>
      <c r="V211" s="126"/>
      <c r="W211" s="126"/>
      <c r="X211" s="126"/>
      <c r="Y211" s="126"/>
      <c r="Z211" s="126"/>
      <c r="AA211" s="126"/>
      <c r="AB211" s="126"/>
      <c r="AC211" s="126"/>
    </row>
    <row r="212" spans="1:63" x14ac:dyDescent="0.3">
      <c r="B212" s="99" t="s">
        <v>52</v>
      </c>
      <c r="C212" s="73"/>
      <c r="D212" s="73"/>
      <c r="E212" s="73"/>
      <c r="F212" s="100">
        <v>0.13</v>
      </c>
      <c r="G212" s="101"/>
      <c r="H212" s="142">
        <f>H211*F212</f>
        <v>1927.92481505</v>
      </c>
      <c r="I212" s="102"/>
      <c r="J212" s="103">
        <v>0.13</v>
      </c>
      <c r="K212" s="102"/>
      <c r="L212" s="147">
        <f>L211*J212</f>
        <v>1932.5282693600002</v>
      </c>
      <c r="M212" s="148"/>
      <c r="N212" s="149">
        <f>L212-H212</f>
        <v>4.6034543100001883</v>
      </c>
      <c r="O212" s="104">
        <f>IF((H212)=0,"",(N212/H212))</f>
        <v>2.3877768853142749E-3</v>
      </c>
      <c r="Q212" s="126"/>
      <c r="R212" s="126"/>
      <c r="S212" s="127"/>
      <c r="T212" s="126"/>
      <c r="U212" s="126"/>
      <c r="V212" s="126"/>
      <c r="W212" s="126"/>
      <c r="X212" s="126"/>
      <c r="Y212" s="126"/>
      <c r="Z212" s="126"/>
      <c r="AA212" s="126"/>
      <c r="AB212" s="126"/>
      <c r="AC212" s="126"/>
    </row>
    <row r="213" spans="1:63" x14ac:dyDescent="0.3">
      <c r="B213" s="105" t="s">
        <v>53</v>
      </c>
      <c r="C213" s="73"/>
      <c r="D213" s="73"/>
      <c r="E213" s="73"/>
      <c r="F213" s="106"/>
      <c r="G213" s="101"/>
      <c r="H213" s="142">
        <f>H211+H212</f>
        <v>16758.115700049999</v>
      </c>
      <c r="I213" s="102"/>
      <c r="J213" s="102"/>
      <c r="K213" s="102"/>
      <c r="L213" s="147">
        <f>L211+L212</f>
        <v>16798.130341360004</v>
      </c>
      <c r="M213" s="148"/>
      <c r="N213" s="149">
        <f>L213-H213</f>
        <v>40.014641310004663</v>
      </c>
      <c r="O213" s="104">
        <f>IF((H213)=0,"",(N213/H213))</f>
        <v>2.3877768853144557E-3</v>
      </c>
      <c r="Q213" s="126"/>
      <c r="R213" s="126"/>
      <c r="S213" s="127"/>
      <c r="T213" s="126"/>
      <c r="U213" s="126"/>
      <c r="V213" s="126"/>
      <c r="W213" s="126"/>
      <c r="X213" s="126"/>
      <c r="Y213" s="126"/>
      <c r="Z213" s="126"/>
      <c r="AA213" s="126"/>
      <c r="AB213" s="126"/>
      <c r="AC213" s="126"/>
    </row>
    <row r="214" spans="1:63" ht="14.4" customHeight="1" x14ac:dyDescent="0.3">
      <c r="B214" s="172" t="s">
        <v>54</v>
      </c>
      <c r="C214" s="172"/>
      <c r="D214" s="172"/>
      <c r="E214" s="73"/>
      <c r="F214" s="106"/>
      <c r="G214" s="101"/>
      <c r="H214" s="143">
        <v>0</v>
      </c>
      <c r="I214" s="102"/>
      <c r="J214" s="102"/>
      <c r="K214" s="102"/>
      <c r="L214" s="150">
        <v>0</v>
      </c>
      <c r="M214" s="148"/>
      <c r="N214" s="151">
        <f>L214-H214</f>
        <v>0</v>
      </c>
      <c r="O214" s="107" t="str">
        <f>IF((H214)=0,"",(N214/H214))</f>
        <v/>
      </c>
      <c r="Q214" s="126"/>
      <c r="R214" s="126"/>
      <c r="S214" s="126"/>
      <c r="T214" s="126"/>
      <c r="U214" s="126"/>
      <c r="V214" s="126"/>
      <c r="W214" s="126"/>
      <c r="X214" s="126"/>
      <c r="Y214" s="126"/>
      <c r="Z214" s="126"/>
      <c r="AA214" s="126"/>
      <c r="AB214" s="126"/>
      <c r="AC214" s="126"/>
    </row>
    <row r="215" spans="1:63" s="4" customFormat="1" ht="15" thickBot="1" x14ac:dyDescent="0.35">
      <c r="A215" s="60"/>
      <c r="B215" s="173" t="s">
        <v>55</v>
      </c>
      <c r="C215" s="173"/>
      <c r="D215" s="173"/>
      <c r="E215" s="42"/>
      <c r="F215" s="43"/>
      <c r="G215" s="44"/>
      <c r="H215" s="45">
        <f>H213+H214</f>
        <v>16758.115700049999</v>
      </c>
      <c r="I215" s="46"/>
      <c r="J215" s="46"/>
      <c r="K215" s="46"/>
      <c r="L215" s="47">
        <f>L213+L214</f>
        <v>16798.130341360004</v>
      </c>
      <c r="M215" s="48"/>
      <c r="N215" s="49">
        <f>L215-H215</f>
        <v>40.014641310004663</v>
      </c>
      <c r="O215" s="50">
        <f>IF((H215)=0,"",(N215/H215))</f>
        <v>2.3877768853144557E-3</v>
      </c>
      <c r="P215" s="60"/>
      <c r="Q215" s="126"/>
      <c r="R215" s="126"/>
      <c r="S215" s="126"/>
      <c r="T215" s="126"/>
      <c r="U215" s="126"/>
      <c r="V215" s="126"/>
      <c r="W215" s="126"/>
      <c r="X215" s="126"/>
      <c r="Y215" s="126"/>
      <c r="Z215" s="126"/>
      <c r="AA215" s="126"/>
      <c r="AB215" s="126"/>
      <c r="AC215" s="126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</row>
    <row r="216" spans="1:63" s="4" customFormat="1" ht="15" thickBot="1" x14ac:dyDescent="0.35">
      <c r="A216" s="60"/>
      <c r="B216" s="32"/>
      <c r="C216" s="33"/>
      <c r="D216" s="34"/>
      <c r="E216" s="33"/>
      <c r="F216" s="35"/>
      <c r="G216" s="36"/>
      <c r="H216" s="37"/>
      <c r="I216" s="38"/>
      <c r="J216" s="35"/>
      <c r="K216" s="39"/>
      <c r="L216" s="37"/>
      <c r="M216" s="123"/>
      <c r="N216" s="40"/>
      <c r="O216" s="41"/>
      <c r="P216" s="60"/>
      <c r="Q216" s="126"/>
      <c r="R216" s="126"/>
      <c r="S216" s="126"/>
      <c r="T216" s="126"/>
      <c r="U216" s="126"/>
      <c r="V216" s="126"/>
      <c r="W216" s="126"/>
      <c r="X216" s="126"/>
      <c r="Y216" s="126"/>
      <c r="Z216" s="126"/>
      <c r="AA216" s="126"/>
      <c r="AB216" s="126"/>
      <c r="AC216" s="126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</row>
    <row r="217" spans="1:63" s="92" customFormat="1" ht="13.2" x14ac:dyDescent="0.25">
      <c r="B217" s="108" t="s">
        <v>56</v>
      </c>
      <c r="C217" s="90"/>
      <c r="D217" s="90"/>
      <c r="E217" s="90"/>
      <c r="F217" s="109"/>
      <c r="G217" s="110"/>
      <c r="H217" s="152">
        <f>SUM(H208:H209,H200,H201:H204)</f>
        <v>15310.040885</v>
      </c>
      <c r="I217" s="111"/>
      <c r="J217" s="112"/>
      <c r="K217" s="112"/>
      <c r="L217" s="155">
        <f>SUM(L208:L209,L200,L201:L204)</f>
        <v>15345.452072000002</v>
      </c>
      <c r="M217" s="156"/>
      <c r="N217" s="157">
        <f>L217-H217</f>
        <v>35.411187000001519</v>
      </c>
      <c r="O217" s="98">
        <f>IF((H217)=0,"",(N217/H217))</f>
        <v>2.312938761299821E-3</v>
      </c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</row>
    <row r="218" spans="1:63" s="92" customFormat="1" ht="13.2" x14ac:dyDescent="0.25">
      <c r="B218" s="113" t="s">
        <v>52</v>
      </c>
      <c r="C218" s="90"/>
      <c r="D218" s="90"/>
      <c r="E218" s="90"/>
      <c r="F218" s="114">
        <v>0.13</v>
      </c>
      <c r="G218" s="110"/>
      <c r="H218" s="153">
        <f>H217*F218</f>
        <v>1990.3053150500002</v>
      </c>
      <c r="I218" s="115"/>
      <c r="J218" s="116">
        <v>0.13</v>
      </c>
      <c r="K218" s="117"/>
      <c r="L218" s="158">
        <f>L217*J218</f>
        <v>1994.9087693600004</v>
      </c>
      <c r="M218" s="159"/>
      <c r="N218" s="160">
        <f>L218-H218</f>
        <v>4.6034543100001883</v>
      </c>
      <c r="O218" s="104">
        <f>IF((H218)=0,"",(N218/H218))</f>
        <v>2.3129387612998162E-3</v>
      </c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</row>
    <row r="219" spans="1:63" s="92" customFormat="1" ht="13.2" x14ac:dyDescent="0.25">
      <c r="B219" s="118" t="s">
        <v>53</v>
      </c>
      <c r="C219" s="90"/>
      <c r="D219" s="90"/>
      <c r="E219" s="90"/>
      <c r="F219" s="119"/>
      <c r="G219" s="120"/>
      <c r="H219" s="153">
        <f>H217+H218</f>
        <v>17300.34620005</v>
      </c>
      <c r="I219" s="115"/>
      <c r="J219" s="115"/>
      <c r="K219" s="115"/>
      <c r="L219" s="158">
        <f>L217+L218</f>
        <v>17340.360841360001</v>
      </c>
      <c r="M219" s="159"/>
      <c r="N219" s="160">
        <f>L219-H219</f>
        <v>40.014641310001025</v>
      </c>
      <c r="O219" s="104">
        <f>IF((H219)=0,"",(N219/H219))</f>
        <v>2.3129387612997811E-3</v>
      </c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</row>
    <row r="220" spans="1:63" s="92" customFormat="1" ht="13.2" customHeight="1" x14ac:dyDescent="0.25">
      <c r="B220" s="174" t="s">
        <v>54</v>
      </c>
      <c r="C220" s="174"/>
      <c r="D220" s="174"/>
      <c r="E220" s="90"/>
      <c r="F220" s="119"/>
      <c r="G220" s="120"/>
      <c r="H220" s="154">
        <v>0</v>
      </c>
      <c r="I220" s="115"/>
      <c r="J220" s="115"/>
      <c r="K220" s="115"/>
      <c r="L220" s="161">
        <v>0</v>
      </c>
      <c r="M220" s="159"/>
      <c r="N220" s="162">
        <f>L220-H220</f>
        <v>0</v>
      </c>
      <c r="O220" s="107" t="str">
        <f>IF((H220)=0,"",(N220/H220))</f>
        <v/>
      </c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28"/>
      <c r="AB220" s="128"/>
      <c r="AC220" s="128"/>
    </row>
    <row r="221" spans="1:63" s="4" customFormat="1" ht="15" thickBot="1" x14ac:dyDescent="0.35">
      <c r="A221" s="60"/>
      <c r="B221" s="173" t="s">
        <v>57</v>
      </c>
      <c r="C221" s="173"/>
      <c r="D221" s="173"/>
      <c r="E221" s="42"/>
      <c r="F221" s="43"/>
      <c r="G221" s="44"/>
      <c r="H221" s="45">
        <f>SUM(H219:H220)</f>
        <v>17300.34620005</v>
      </c>
      <c r="I221" s="46"/>
      <c r="J221" s="46"/>
      <c r="K221" s="46"/>
      <c r="L221" s="47">
        <f>SUM(L219:L220)</f>
        <v>17340.360841360001</v>
      </c>
      <c r="M221" s="48"/>
      <c r="N221" s="49">
        <f>L221-H221</f>
        <v>40.014641310001025</v>
      </c>
      <c r="O221" s="50">
        <f>IF((H221)=0,"",(N221/H221))</f>
        <v>2.3129387612997811E-3</v>
      </c>
      <c r="P221" s="60"/>
      <c r="Q221" s="126"/>
      <c r="R221" s="126"/>
      <c r="S221" s="126"/>
      <c r="T221" s="126"/>
      <c r="U221" s="126"/>
      <c r="V221" s="126"/>
      <c r="W221" s="126"/>
      <c r="X221" s="126"/>
      <c r="Y221" s="126"/>
      <c r="Z221" s="126"/>
      <c r="AA221" s="126"/>
      <c r="AB221" s="126"/>
      <c r="AC221" s="126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</row>
    <row r="222" spans="1:63" s="4" customFormat="1" ht="15" thickBot="1" x14ac:dyDescent="0.35">
      <c r="A222" s="60"/>
      <c r="B222" s="32"/>
      <c r="C222" s="33"/>
      <c r="D222" s="34"/>
      <c r="E222" s="33"/>
      <c r="F222" s="35"/>
      <c r="G222" s="36"/>
      <c r="H222" s="122"/>
      <c r="I222" s="123"/>
      <c r="J222" s="35"/>
      <c r="K222" s="39"/>
      <c r="L222" s="37"/>
      <c r="M222" s="123"/>
      <c r="N222" s="40"/>
      <c r="O222" s="41"/>
      <c r="P222" s="60"/>
      <c r="Q222" s="126"/>
      <c r="R222" s="126"/>
      <c r="S222" s="126"/>
      <c r="T222" s="126"/>
      <c r="U222" s="126"/>
      <c r="V222" s="126"/>
      <c r="W222" s="126"/>
      <c r="X222" s="126"/>
      <c r="Y222" s="126"/>
      <c r="Z222" s="126"/>
      <c r="AA222" s="126"/>
      <c r="AB222" s="126"/>
      <c r="AC222" s="126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  <c r="AU222" s="60"/>
      <c r="AV222" s="60"/>
      <c r="AW222" s="60"/>
      <c r="AX222" s="60"/>
      <c r="AY222" s="60"/>
      <c r="AZ222" s="60"/>
      <c r="BA222" s="60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</row>
    <row r="223" spans="1:63" x14ac:dyDescent="0.3">
      <c r="L223" s="88"/>
    </row>
    <row r="224" spans="1:63" x14ac:dyDescent="0.3">
      <c r="B224" s="65" t="s">
        <v>58</v>
      </c>
      <c r="F224" s="51">
        <v>3.7699999999999997E-2</v>
      </c>
      <c r="J224" s="51">
        <f>+Residential!$J$74</f>
        <v>3.7600000000000001E-2</v>
      </c>
    </row>
    <row r="226" spans="1:16" x14ac:dyDescent="0.3">
      <c r="L226" s="56"/>
      <c r="M226" s="56"/>
      <c r="N226" s="56"/>
      <c r="O226" s="56"/>
      <c r="P226" s="56"/>
    </row>
    <row r="227" spans="1:16" ht="16.2" x14ac:dyDescent="0.3">
      <c r="A227" s="121" t="s">
        <v>59</v>
      </c>
    </row>
    <row r="229" spans="1:16" x14ac:dyDescent="0.3">
      <c r="A229" s="60" t="s">
        <v>60</v>
      </c>
    </row>
    <row r="230" spans="1:16" x14ac:dyDescent="0.3">
      <c r="A230" s="60" t="s">
        <v>61</v>
      </c>
    </row>
    <row r="232" spans="1:16" x14ac:dyDescent="0.3">
      <c r="B232" s="60" t="s">
        <v>62</v>
      </c>
    </row>
    <row r="235" spans="1:16" ht="18.75" customHeight="1" x14ac:dyDescent="0.3">
      <c r="B235" s="175" t="s">
        <v>6</v>
      </c>
      <c r="C235" s="175"/>
      <c r="D235" s="175"/>
      <c r="E235" s="175"/>
      <c r="F235" s="175"/>
      <c r="G235" s="175"/>
      <c r="H235" s="175"/>
      <c r="I235" s="175"/>
      <c r="J235" s="175"/>
      <c r="K235" s="175"/>
      <c r="L235" s="175"/>
      <c r="M235" s="175"/>
      <c r="N235" s="175"/>
      <c r="O235" s="175"/>
      <c r="P235" s="56"/>
    </row>
    <row r="236" spans="1:16" ht="18.75" customHeight="1" x14ac:dyDescent="0.3">
      <c r="B236" s="175" t="s">
        <v>7</v>
      </c>
      <c r="C236" s="175"/>
      <c r="D236" s="175"/>
      <c r="E236" s="175"/>
      <c r="F236" s="175"/>
      <c r="G236" s="175"/>
      <c r="H236" s="175"/>
      <c r="I236" s="175"/>
      <c r="J236" s="175"/>
      <c r="K236" s="175"/>
      <c r="L236" s="175"/>
      <c r="M236" s="175"/>
      <c r="N236" s="175"/>
      <c r="O236" s="175"/>
      <c r="P236" s="56"/>
    </row>
    <row r="237" spans="1:16" ht="7.5" customHeight="1" x14ac:dyDescent="0.3">
      <c r="L237" s="56"/>
      <c r="M237" s="56"/>
      <c r="N237" s="56"/>
      <c r="O237" s="56"/>
      <c r="P237" s="56"/>
    </row>
    <row r="238" spans="1:16" ht="7.5" customHeight="1" x14ac:dyDescent="0.3">
      <c r="L238" s="56"/>
      <c r="M238" s="56"/>
      <c r="N238" s="56"/>
      <c r="O238" s="56"/>
      <c r="P238" s="56"/>
    </row>
    <row r="239" spans="1:16" ht="15.6" x14ac:dyDescent="0.3">
      <c r="B239" s="61" t="s">
        <v>8</v>
      </c>
      <c r="D239" s="185" t="s">
        <v>77</v>
      </c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</row>
    <row r="240" spans="1:16" ht="7.5" customHeight="1" x14ac:dyDescent="0.3">
      <c r="B240" s="62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</row>
    <row r="241" spans="2:29" ht="15.6" x14ac:dyDescent="0.3">
      <c r="B241" s="61" t="s">
        <v>9</v>
      </c>
      <c r="D241" s="5" t="s">
        <v>63</v>
      </c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</row>
    <row r="242" spans="2:29" ht="15.6" x14ac:dyDescent="0.3">
      <c r="B242" s="62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</row>
    <row r="243" spans="2:29" x14ac:dyDescent="0.3">
      <c r="B243" s="64"/>
      <c r="D243" s="65" t="s">
        <v>11</v>
      </c>
      <c r="E243" s="65"/>
      <c r="F243" s="6">
        <v>500</v>
      </c>
      <c r="G243" s="65" t="s">
        <v>64</v>
      </c>
    </row>
    <row r="244" spans="2:29" x14ac:dyDescent="0.3">
      <c r="B244" s="64"/>
      <c r="F244" s="6">
        <v>200000</v>
      </c>
      <c r="G244" s="65" t="s">
        <v>12</v>
      </c>
    </row>
    <row r="245" spans="2:29" x14ac:dyDescent="0.3">
      <c r="B245" s="64"/>
      <c r="D245" s="66"/>
      <c r="E245" s="66"/>
      <c r="F245" s="176" t="s">
        <v>13</v>
      </c>
      <c r="G245" s="177"/>
      <c r="H245" s="178"/>
      <c r="J245" s="176" t="s">
        <v>14</v>
      </c>
      <c r="K245" s="177"/>
      <c r="L245" s="178"/>
      <c r="N245" s="176" t="s">
        <v>15</v>
      </c>
      <c r="O245" s="178"/>
      <c r="Q245" s="126"/>
      <c r="R245" s="126"/>
      <c r="S245" s="126"/>
      <c r="T245" s="126"/>
      <c r="U245" s="126"/>
      <c r="V245" s="126"/>
      <c r="W245" s="126"/>
      <c r="X245" s="126"/>
      <c r="Y245" s="126"/>
      <c r="Z245" s="126"/>
      <c r="AA245" s="126"/>
      <c r="AB245" s="126"/>
      <c r="AC245" s="126"/>
    </row>
    <row r="246" spans="2:29" x14ac:dyDescent="0.3">
      <c r="B246" s="64"/>
      <c r="D246" s="179" t="s">
        <v>16</v>
      </c>
      <c r="E246" s="67"/>
      <c r="F246" s="68" t="s">
        <v>17</v>
      </c>
      <c r="G246" s="68" t="s">
        <v>18</v>
      </c>
      <c r="H246" s="69" t="s">
        <v>19</v>
      </c>
      <c r="J246" s="68" t="s">
        <v>17</v>
      </c>
      <c r="K246" s="70" t="s">
        <v>18</v>
      </c>
      <c r="L246" s="69" t="s">
        <v>19</v>
      </c>
      <c r="N246" s="181" t="s">
        <v>20</v>
      </c>
      <c r="O246" s="183" t="s">
        <v>21</v>
      </c>
      <c r="Q246" s="126"/>
      <c r="R246" s="126"/>
      <c r="S246" s="126"/>
      <c r="T246" s="126"/>
      <c r="U246" s="126"/>
      <c r="V246" s="126"/>
      <c r="W246" s="126"/>
      <c r="X246" s="126"/>
      <c r="Y246" s="126"/>
      <c r="Z246" s="126"/>
      <c r="AA246" s="126"/>
      <c r="AB246" s="126"/>
      <c r="AC246" s="126"/>
    </row>
    <row r="247" spans="2:29" x14ac:dyDescent="0.3">
      <c r="B247" s="64"/>
      <c r="D247" s="180"/>
      <c r="E247" s="67"/>
      <c r="F247" s="71" t="s">
        <v>22</v>
      </c>
      <c r="G247" s="71"/>
      <c r="H247" s="72" t="s">
        <v>22</v>
      </c>
      <c r="J247" s="71" t="s">
        <v>22</v>
      </c>
      <c r="K247" s="72"/>
      <c r="L247" s="72" t="s">
        <v>22</v>
      </c>
      <c r="N247" s="182"/>
      <c r="O247" s="184"/>
      <c r="Q247" s="126"/>
      <c r="R247" s="126"/>
      <c r="S247" s="126"/>
      <c r="T247" s="126"/>
      <c r="U247" s="126"/>
      <c r="V247" s="126"/>
      <c r="W247" s="126"/>
      <c r="X247" s="126"/>
      <c r="Y247" s="126"/>
      <c r="Z247" s="126"/>
      <c r="AA247" s="126"/>
      <c r="AB247" s="126"/>
      <c r="AC247" s="126"/>
    </row>
    <row r="248" spans="2:29" x14ac:dyDescent="0.3">
      <c r="B248" s="73" t="s">
        <v>23</v>
      </c>
      <c r="C248" s="73"/>
      <c r="D248" s="7" t="s">
        <v>24</v>
      </c>
      <c r="E248" s="73"/>
      <c r="F248" s="129">
        <v>118.45</v>
      </c>
      <c r="G248" s="74">
        <v>1</v>
      </c>
      <c r="H248" s="75">
        <f t="shared" ref="H248:H263" si="27">G248*F248</f>
        <v>118.45</v>
      </c>
      <c r="I248" s="76"/>
      <c r="J248" s="129">
        <v>118.45</v>
      </c>
      <c r="K248" s="77">
        <v>1</v>
      </c>
      <c r="L248" s="75">
        <f t="shared" ref="L248:L263" si="28">K248*J248</f>
        <v>118.45</v>
      </c>
      <c r="M248" s="76"/>
      <c r="N248" s="78">
        <f t="shared" ref="N248:N284" si="29">L248-H248</f>
        <v>0</v>
      </c>
      <c r="O248" s="79">
        <f t="shared" ref="O248:O270" si="30">IF((H248)=0,"",(N248/H248))</f>
        <v>0</v>
      </c>
      <c r="Q248" s="126"/>
      <c r="R248" s="126"/>
      <c r="S248" s="126"/>
      <c r="T248" s="126"/>
      <c r="U248" s="126"/>
      <c r="V248" s="126"/>
      <c r="W248" s="126"/>
      <c r="X248" s="126"/>
      <c r="Y248" s="126"/>
      <c r="Z248" s="126"/>
      <c r="AA248" s="126"/>
      <c r="AB248" s="126"/>
      <c r="AC248" s="126"/>
    </row>
    <row r="249" spans="2:29" x14ac:dyDescent="0.3">
      <c r="B249" s="73" t="s">
        <v>25</v>
      </c>
      <c r="C249" s="73"/>
      <c r="D249" s="7" t="s">
        <v>24</v>
      </c>
      <c r="E249" s="73"/>
      <c r="F249" s="133"/>
      <c r="G249" s="74">
        <v>1</v>
      </c>
      <c r="H249" s="136">
        <f t="shared" si="27"/>
        <v>0</v>
      </c>
      <c r="I249" s="76"/>
      <c r="J249" s="130"/>
      <c r="K249" s="77">
        <v>1</v>
      </c>
      <c r="L249" s="136">
        <f t="shared" si="28"/>
        <v>0</v>
      </c>
      <c r="M249" s="76"/>
      <c r="N249" s="137">
        <f t="shared" si="29"/>
        <v>0</v>
      </c>
      <c r="O249" s="79" t="str">
        <f t="shared" si="30"/>
        <v/>
      </c>
      <c r="Q249" s="126"/>
      <c r="R249" s="126"/>
      <c r="S249" s="126"/>
      <c r="T249" s="126"/>
      <c r="U249" s="126"/>
      <c r="V249" s="126"/>
      <c r="W249" s="126"/>
      <c r="X249" s="126"/>
      <c r="Y249" s="126"/>
      <c r="Z249" s="126"/>
      <c r="AA249" s="126"/>
      <c r="AB249" s="126"/>
      <c r="AC249" s="126"/>
    </row>
    <row r="250" spans="2:29" x14ac:dyDescent="0.3">
      <c r="B250" s="9"/>
      <c r="C250" s="73"/>
      <c r="D250" s="7"/>
      <c r="E250" s="73"/>
      <c r="F250" s="134"/>
      <c r="G250" s="74">
        <v>1</v>
      </c>
      <c r="H250" s="136">
        <f t="shared" si="27"/>
        <v>0</v>
      </c>
      <c r="I250" s="76"/>
      <c r="J250" s="131"/>
      <c r="K250" s="77">
        <v>1</v>
      </c>
      <c r="L250" s="136">
        <f t="shared" si="28"/>
        <v>0</v>
      </c>
      <c r="M250" s="76"/>
      <c r="N250" s="137">
        <f t="shared" si="29"/>
        <v>0</v>
      </c>
      <c r="O250" s="79" t="str">
        <f t="shared" si="30"/>
        <v/>
      </c>
      <c r="Q250" s="126"/>
      <c r="R250" s="126"/>
      <c r="S250" s="126"/>
      <c r="T250" s="126"/>
      <c r="U250" s="126"/>
      <c r="V250" s="126"/>
      <c r="W250" s="126"/>
      <c r="X250" s="126"/>
      <c r="Y250" s="126"/>
      <c r="Z250" s="126"/>
      <c r="AA250" s="126"/>
      <c r="AB250" s="126"/>
      <c r="AC250" s="126"/>
    </row>
    <row r="251" spans="2:29" x14ac:dyDescent="0.3">
      <c r="B251" s="9"/>
      <c r="C251" s="73"/>
      <c r="D251" s="7"/>
      <c r="E251" s="73"/>
      <c r="F251" s="134"/>
      <c r="G251" s="74">
        <v>1</v>
      </c>
      <c r="H251" s="136">
        <f t="shared" si="27"/>
        <v>0</v>
      </c>
      <c r="I251" s="76"/>
      <c r="J251" s="131"/>
      <c r="K251" s="77">
        <v>1</v>
      </c>
      <c r="L251" s="136">
        <f t="shared" si="28"/>
        <v>0</v>
      </c>
      <c r="M251" s="76"/>
      <c r="N251" s="137">
        <f t="shared" si="29"/>
        <v>0</v>
      </c>
      <c r="O251" s="79" t="str">
        <f t="shared" si="30"/>
        <v/>
      </c>
      <c r="Q251" s="126"/>
      <c r="R251" s="126"/>
      <c r="S251" s="126"/>
      <c r="T251" s="126"/>
      <c r="U251" s="126"/>
      <c r="V251" s="126"/>
      <c r="W251" s="126"/>
      <c r="X251" s="126"/>
      <c r="Y251" s="126"/>
      <c r="Z251" s="126"/>
      <c r="AA251" s="126"/>
      <c r="AB251" s="126"/>
      <c r="AC251" s="126"/>
    </row>
    <row r="252" spans="2:29" x14ac:dyDescent="0.3">
      <c r="B252" s="10"/>
      <c r="C252" s="73"/>
      <c r="D252" s="7"/>
      <c r="E252" s="73"/>
      <c r="F252" s="134"/>
      <c r="G252" s="74">
        <v>1</v>
      </c>
      <c r="H252" s="136">
        <f t="shared" si="27"/>
        <v>0</v>
      </c>
      <c r="I252" s="76"/>
      <c r="J252" s="131"/>
      <c r="K252" s="77">
        <v>1</v>
      </c>
      <c r="L252" s="136">
        <f t="shared" si="28"/>
        <v>0</v>
      </c>
      <c r="M252" s="76"/>
      <c r="N252" s="137">
        <f t="shared" si="29"/>
        <v>0</v>
      </c>
      <c r="O252" s="79" t="str">
        <f t="shared" si="30"/>
        <v/>
      </c>
      <c r="Q252" s="126"/>
      <c r="R252" s="126"/>
      <c r="S252" s="126"/>
      <c r="T252" s="126"/>
      <c r="U252" s="126"/>
      <c r="V252" s="126"/>
      <c r="W252" s="126"/>
      <c r="X252" s="126"/>
      <c r="Y252" s="126"/>
      <c r="Z252" s="126"/>
      <c r="AA252" s="126"/>
      <c r="AB252" s="126"/>
      <c r="AC252" s="126"/>
    </row>
    <row r="253" spans="2:29" x14ac:dyDescent="0.3">
      <c r="B253" s="10"/>
      <c r="C253" s="73"/>
      <c r="D253" s="7"/>
      <c r="E253" s="73"/>
      <c r="F253" s="134"/>
      <c r="G253" s="74">
        <v>1</v>
      </c>
      <c r="H253" s="136">
        <f t="shared" si="27"/>
        <v>0</v>
      </c>
      <c r="I253" s="76"/>
      <c r="J253" s="131"/>
      <c r="K253" s="77">
        <v>1</v>
      </c>
      <c r="L253" s="136">
        <f t="shared" si="28"/>
        <v>0</v>
      </c>
      <c r="M253" s="76"/>
      <c r="N253" s="137">
        <f t="shared" si="29"/>
        <v>0</v>
      </c>
      <c r="O253" s="79" t="str">
        <f t="shared" si="30"/>
        <v/>
      </c>
      <c r="Q253" s="126"/>
      <c r="R253" s="126"/>
      <c r="S253" s="126"/>
      <c r="T253" s="126"/>
      <c r="U253" s="126"/>
      <c r="V253" s="126"/>
      <c r="W253" s="126"/>
      <c r="X253" s="126"/>
      <c r="Y253" s="126"/>
      <c r="Z253" s="126"/>
      <c r="AA253" s="126"/>
      <c r="AB253" s="126"/>
      <c r="AC253" s="126"/>
    </row>
    <row r="254" spans="2:29" x14ac:dyDescent="0.3">
      <c r="B254" s="73" t="s">
        <v>26</v>
      </c>
      <c r="C254" s="73"/>
      <c r="D254" s="7" t="s">
        <v>67</v>
      </c>
      <c r="E254" s="73"/>
      <c r="F254" s="135">
        <v>3.6776</v>
      </c>
      <c r="G254" s="74">
        <f>$F243</f>
        <v>500</v>
      </c>
      <c r="H254" s="136">
        <f t="shared" si="27"/>
        <v>1838.8</v>
      </c>
      <c r="I254" s="76"/>
      <c r="J254" s="132">
        <v>4.6319999999999997</v>
      </c>
      <c r="K254" s="74">
        <f>$F243</f>
        <v>500</v>
      </c>
      <c r="L254" s="136">
        <f t="shared" si="28"/>
        <v>2316</v>
      </c>
      <c r="M254" s="76"/>
      <c r="N254" s="137">
        <f t="shared" si="29"/>
        <v>477.20000000000005</v>
      </c>
      <c r="O254" s="79">
        <f t="shared" si="30"/>
        <v>0.25951707635414406</v>
      </c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  <c r="AB254" s="126"/>
      <c r="AC254" s="126"/>
    </row>
    <row r="255" spans="2:29" x14ac:dyDescent="0.3">
      <c r="B255" s="73" t="s">
        <v>28</v>
      </c>
      <c r="C255" s="73"/>
      <c r="D255" s="7" t="s">
        <v>24</v>
      </c>
      <c r="E255" s="73"/>
      <c r="F255" s="135"/>
      <c r="G255" s="74">
        <v>1</v>
      </c>
      <c r="H255" s="136">
        <f t="shared" si="27"/>
        <v>0</v>
      </c>
      <c r="I255" s="76"/>
      <c r="J255" s="132"/>
      <c r="K255" s="74">
        <v>1</v>
      </c>
      <c r="L255" s="136">
        <f t="shared" si="28"/>
        <v>0</v>
      </c>
      <c r="M255" s="76"/>
      <c r="N255" s="137">
        <f t="shared" si="29"/>
        <v>0</v>
      </c>
      <c r="O255" s="79" t="str">
        <f t="shared" si="30"/>
        <v/>
      </c>
      <c r="Q255" s="126"/>
      <c r="R255" s="126"/>
      <c r="S255" s="126"/>
      <c r="T255" s="126"/>
      <c r="U255" s="126"/>
      <c r="V255" s="126"/>
      <c r="W255" s="126"/>
      <c r="X255" s="126"/>
      <c r="Y255" s="126"/>
      <c r="Z255" s="126"/>
      <c r="AA255" s="126"/>
      <c r="AB255" s="126"/>
      <c r="AC255" s="126"/>
    </row>
    <row r="256" spans="2:29" x14ac:dyDescent="0.3">
      <c r="B256" s="73" t="s">
        <v>29</v>
      </c>
      <c r="C256" s="73"/>
      <c r="D256" s="7" t="s">
        <v>67</v>
      </c>
      <c r="E256" s="73"/>
      <c r="F256" s="135">
        <v>3.3E-3</v>
      </c>
      <c r="G256" s="74">
        <f>$F243</f>
        <v>500</v>
      </c>
      <c r="H256" s="136">
        <f t="shared" si="27"/>
        <v>1.65</v>
      </c>
      <c r="I256" s="76"/>
      <c r="J256" s="171">
        <v>0</v>
      </c>
      <c r="K256" s="74">
        <f>$F243</f>
        <v>500</v>
      </c>
      <c r="L256" s="136">
        <f t="shared" si="28"/>
        <v>0</v>
      </c>
      <c r="M256" s="76"/>
      <c r="N256" s="137">
        <f t="shared" si="29"/>
        <v>-1.65</v>
      </c>
      <c r="O256" s="79">
        <f t="shared" si="30"/>
        <v>-1</v>
      </c>
      <c r="Q256" s="126"/>
      <c r="R256" s="126"/>
      <c r="S256" s="126"/>
      <c r="T256" s="126"/>
      <c r="U256" s="126"/>
      <c r="V256" s="126"/>
      <c r="W256" s="126"/>
      <c r="X256" s="126"/>
      <c r="Y256" s="126"/>
      <c r="Z256" s="126"/>
      <c r="AA256" s="126"/>
      <c r="AB256" s="126"/>
      <c r="AC256" s="126"/>
    </row>
    <row r="257" spans="1:63" x14ac:dyDescent="0.3">
      <c r="B257" s="11" t="s">
        <v>30</v>
      </c>
      <c r="C257" s="73"/>
      <c r="D257" s="7" t="s">
        <v>67</v>
      </c>
      <c r="E257" s="73"/>
      <c r="F257" s="135">
        <v>0.25109999999999999</v>
      </c>
      <c r="G257" s="74">
        <f>$F243</f>
        <v>500</v>
      </c>
      <c r="H257" s="136">
        <f t="shared" si="27"/>
        <v>125.55</v>
      </c>
      <c r="I257" s="76"/>
      <c r="J257" s="132"/>
      <c r="K257" s="74">
        <f>$F243</f>
        <v>500</v>
      </c>
      <c r="L257" s="136">
        <f t="shared" si="28"/>
        <v>0</v>
      </c>
      <c r="M257" s="76"/>
      <c r="N257" s="137">
        <f t="shared" si="29"/>
        <v>-125.55</v>
      </c>
      <c r="O257" s="79">
        <f t="shared" si="30"/>
        <v>-1</v>
      </c>
      <c r="Q257" s="126"/>
      <c r="R257" s="126"/>
      <c r="S257" s="126"/>
      <c r="T257" s="126"/>
      <c r="U257" s="126"/>
      <c r="V257" s="126"/>
      <c r="W257" s="126"/>
      <c r="X257" s="126"/>
      <c r="Y257" s="126"/>
      <c r="Z257" s="126"/>
      <c r="AA257" s="126"/>
      <c r="AB257" s="126"/>
      <c r="AC257" s="126"/>
    </row>
    <row r="258" spans="1:63" x14ac:dyDescent="0.3">
      <c r="B258" s="11" t="s">
        <v>31</v>
      </c>
      <c r="C258" s="73"/>
      <c r="D258" s="7" t="s">
        <v>67</v>
      </c>
      <c r="E258" s="73"/>
      <c r="F258" s="135">
        <v>-4.65E-2</v>
      </c>
      <c r="G258" s="74">
        <f>$F243</f>
        <v>500</v>
      </c>
      <c r="H258" s="136">
        <f t="shared" si="27"/>
        <v>-23.25</v>
      </c>
      <c r="I258" s="76"/>
      <c r="J258" s="132"/>
      <c r="K258" s="74">
        <f>$F243</f>
        <v>500</v>
      </c>
      <c r="L258" s="136">
        <f t="shared" si="28"/>
        <v>0</v>
      </c>
      <c r="M258" s="76"/>
      <c r="N258" s="137">
        <f t="shared" si="29"/>
        <v>23.25</v>
      </c>
      <c r="O258" s="79">
        <f t="shared" si="30"/>
        <v>-1</v>
      </c>
      <c r="Q258" s="126"/>
      <c r="R258" s="126"/>
      <c r="S258" s="126"/>
      <c r="T258" s="126"/>
      <c r="U258" s="126"/>
      <c r="V258" s="126"/>
      <c r="W258" s="126"/>
      <c r="X258" s="126"/>
      <c r="Y258" s="126"/>
      <c r="Z258" s="126"/>
      <c r="AA258" s="126"/>
      <c r="AB258" s="126"/>
      <c r="AC258" s="126"/>
    </row>
    <row r="259" spans="1:63" x14ac:dyDescent="0.3">
      <c r="B259" s="11" t="s">
        <v>32</v>
      </c>
      <c r="C259" s="73"/>
      <c r="D259" s="7" t="s">
        <v>24</v>
      </c>
      <c r="E259" s="73"/>
      <c r="F259" s="135"/>
      <c r="G259" s="74">
        <v>1</v>
      </c>
      <c r="H259" s="136">
        <f t="shared" si="27"/>
        <v>0</v>
      </c>
      <c r="I259" s="76"/>
      <c r="J259" s="132"/>
      <c r="K259" s="74">
        <v>1</v>
      </c>
      <c r="L259" s="136">
        <f t="shared" si="28"/>
        <v>0</v>
      </c>
      <c r="M259" s="76"/>
      <c r="N259" s="137">
        <f t="shared" si="29"/>
        <v>0</v>
      </c>
      <c r="O259" s="79" t="str">
        <f t="shared" si="30"/>
        <v/>
      </c>
      <c r="Q259" s="126"/>
      <c r="R259" s="126"/>
      <c r="S259" s="126"/>
      <c r="T259" s="126"/>
      <c r="U259" s="126"/>
      <c r="V259" s="126"/>
      <c r="W259" s="126"/>
      <c r="X259" s="126"/>
      <c r="Y259" s="126"/>
      <c r="Z259" s="126"/>
      <c r="AA259" s="126"/>
      <c r="AB259" s="126"/>
      <c r="AC259" s="126"/>
    </row>
    <row r="260" spans="1:63" x14ac:dyDescent="0.3">
      <c r="B260" s="12" t="str">
        <f>+Residential!$B$35</f>
        <v>Rate Rider for Disposition of Account 1576</v>
      </c>
      <c r="C260" s="73"/>
      <c r="D260" s="7" t="s">
        <v>67</v>
      </c>
      <c r="E260" s="73"/>
      <c r="F260" s="134"/>
      <c r="G260" s="74">
        <f>$F243</f>
        <v>500</v>
      </c>
      <c r="H260" s="136">
        <f t="shared" si="27"/>
        <v>0</v>
      </c>
      <c r="I260" s="76"/>
      <c r="J260" s="132">
        <v>-0.21049999999999999</v>
      </c>
      <c r="K260" s="74">
        <f>$F243</f>
        <v>500</v>
      </c>
      <c r="L260" s="136">
        <f t="shared" si="28"/>
        <v>-105.25</v>
      </c>
      <c r="M260" s="76"/>
      <c r="N260" s="137">
        <f t="shared" si="29"/>
        <v>-105.25</v>
      </c>
      <c r="O260" s="79" t="str">
        <f t="shared" si="30"/>
        <v/>
      </c>
      <c r="Q260" s="126"/>
      <c r="R260" s="126"/>
      <c r="S260" s="126"/>
      <c r="T260" s="126"/>
      <c r="U260" s="126"/>
      <c r="V260" s="126"/>
      <c r="W260" s="126"/>
      <c r="X260" s="126"/>
      <c r="Y260" s="126"/>
      <c r="Z260" s="126"/>
      <c r="AA260" s="126"/>
      <c r="AB260" s="126"/>
      <c r="AC260" s="126"/>
    </row>
    <row r="261" spans="1:63" x14ac:dyDescent="0.3">
      <c r="B261" s="12" t="str">
        <f>+Residential!$B$36</f>
        <v xml:space="preserve">Rate Rider for Disposition of CGAAP CWIP differential </v>
      </c>
      <c r="C261" s="73"/>
      <c r="D261" s="7" t="s">
        <v>67</v>
      </c>
      <c r="E261" s="73"/>
      <c r="F261" s="134"/>
      <c r="G261" s="74">
        <f>$F243</f>
        <v>500</v>
      </c>
      <c r="H261" s="136">
        <f t="shared" si="27"/>
        <v>0</v>
      </c>
      <c r="I261" s="76"/>
      <c r="J261" s="132">
        <v>0.1138</v>
      </c>
      <c r="K261" s="74">
        <f>$F243</f>
        <v>500</v>
      </c>
      <c r="L261" s="136">
        <f t="shared" si="28"/>
        <v>56.9</v>
      </c>
      <c r="M261" s="76"/>
      <c r="N261" s="137">
        <f t="shared" si="29"/>
        <v>56.9</v>
      </c>
      <c r="O261" s="79" t="str">
        <f t="shared" si="30"/>
        <v/>
      </c>
      <c r="Q261" s="126"/>
      <c r="R261" s="126"/>
      <c r="S261" s="126"/>
      <c r="T261" s="126"/>
      <c r="U261" s="126"/>
      <c r="V261" s="126"/>
      <c r="W261" s="126"/>
      <c r="X261" s="126"/>
      <c r="Y261" s="126"/>
      <c r="Z261" s="126"/>
      <c r="AA261" s="126"/>
      <c r="AB261" s="126"/>
      <c r="AC261" s="126"/>
    </row>
    <row r="262" spans="1:63" x14ac:dyDescent="0.3">
      <c r="B262" s="12" t="str">
        <f>+Residential!$B$37</f>
        <v xml:space="preserve">Rate Rider for Disposition of Incremental Capital Expenditures </v>
      </c>
      <c r="C262" s="73"/>
      <c r="D262" s="7" t="s">
        <v>27</v>
      </c>
      <c r="E262" s="73"/>
      <c r="F262" s="131"/>
      <c r="G262" s="74">
        <f>$F243</f>
        <v>500</v>
      </c>
      <c r="H262" s="136">
        <f t="shared" si="27"/>
        <v>0</v>
      </c>
      <c r="I262" s="76"/>
      <c r="J262" s="132">
        <v>6.8199999999999997E-2</v>
      </c>
      <c r="K262" s="74">
        <f>$F243</f>
        <v>500</v>
      </c>
      <c r="L262" s="136">
        <f t="shared" si="28"/>
        <v>34.1</v>
      </c>
      <c r="M262" s="76"/>
      <c r="N262" s="137">
        <f t="shared" si="29"/>
        <v>34.1</v>
      </c>
      <c r="O262" s="79" t="str">
        <f t="shared" si="30"/>
        <v/>
      </c>
      <c r="Q262" s="126"/>
      <c r="R262" s="126"/>
      <c r="S262" s="126"/>
      <c r="T262" s="126"/>
      <c r="U262" s="126"/>
      <c r="V262" s="126"/>
      <c r="W262" s="126"/>
      <c r="X262" s="126"/>
      <c r="Y262" s="126"/>
      <c r="Z262" s="126"/>
      <c r="AA262" s="126"/>
      <c r="AB262" s="126"/>
      <c r="AC262" s="126"/>
    </row>
    <row r="263" spans="1:63" x14ac:dyDescent="0.3">
      <c r="B263" s="12"/>
      <c r="C263" s="73"/>
      <c r="D263" s="7"/>
      <c r="E263" s="73"/>
      <c r="F263" s="131"/>
      <c r="G263" s="74">
        <f>$F243</f>
        <v>500</v>
      </c>
      <c r="H263" s="136">
        <f t="shared" si="27"/>
        <v>0</v>
      </c>
      <c r="I263" s="76"/>
      <c r="J263" s="131"/>
      <c r="K263" s="74">
        <f>$F243</f>
        <v>500</v>
      </c>
      <c r="L263" s="136">
        <f t="shared" si="28"/>
        <v>0</v>
      </c>
      <c r="M263" s="76"/>
      <c r="N263" s="137">
        <f t="shared" si="29"/>
        <v>0</v>
      </c>
      <c r="O263" s="79" t="str">
        <f t="shared" si="30"/>
        <v/>
      </c>
      <c r="Q263" s="126"/>
      <c r="R263" s="126"/>
      <c r="S263" s="126"/>
      <c r="T263" s="126"/>
      <c r="U263" s="126"/>
      <c r="V263" s="126"/>
      <c r="W263" s="126"/>
      <c r="X263" s="126"/>
      <c r="Y263" s="126"/>
      <c r="Z263" s="126"/>
      <c r="AA263" s="126"/>
      <c r="AB263" s="126"/>
      <c r="AC263" s="126"/>
    </row>
    <row r="264" spans="1:63" s="4" customFormat="1" x14ac:dyDescent="0.3">
      <c r="A264" s="60"/>
      <c r="B264" s="19" t="s">
        <v>33</v>
      </c>
      <c r="C264" s="20"/>
      <c r="D264" s="20"/>
      <c r="E264" s="20"/>
      <c r="F264" s="21"/>
      <c r="G264" s="22"/>
      <c r="H264" s="23">
        <f>SUM(H248:H263)</f>
        <v>2061.2000000000003</v>
      </c>
      <c r="I264" s="13"/>
      <c r="J264" s="14"/>
      <c r="K264" s="24"/>
      <c r="L264" s="23">
        <f>SUM(L248:L263)</f>
        <v>2420.1999999999998</v>
      </c>
      <c r="M264" s="13"/>
      <c r="N264" s="15">
        <f t="shared" si="29"/>
        <v>358.99999999999955</v>
      </c>
      <c r="O264" s="16">
        <f t="shared" si="30"/>
        <v>0.17417038618280589</v>
      </c>
      <c r="P264" s="60"/>
      <c r="Q264" s="126"/>
      <c r="R264" s="126"/>
      <c r="S264" s="126"/>
      <c r="T264" s="126"/>
      <c r="U264" s="126"/>
      <c r="V264" s="126"/>
      <c r="W264" s="126"/>
      <c r="X264" s="126"/>
      <c r="Y264" s="126"/>
      <c r="Z264" s="126"/>
      <c r="AA264" s="126"/>
      <c r="AB264" s="126"/>
      <c r="AC264" s="126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</row>
    <row r="265" spans="1:63" x14ac:dyDescent="0.3">
      <c r="B265" s="17" t="s">
        <v>34</v>
      </c>
      <c r="C265" s="73"/>
      <c r="D265" s="7" t="s">
        <v>67</v>
      </c>
      <c r="E265" s="73"/>
      <c r="F265" s="135">
        <v>9.5299999999999996E-2</v>
      </c>
      <c r="G265" s="74">
        <f>$F243</f>
        <v>500</v>
      </c>
      <c r="H265" s="136">
        <f t="shared" ref="H265:H271" si="31">G265*F265</f>
        <v>47.65</v>
      </c>
      <c r="I265" s="76"/>
      <c r="J265" s="132">
        <v>-0.52270000000000005</v>
      </c>
      <c r="K265" s="74">
        <f>$F243</f>
        <v>500</v>
      </c>
      <c r="L265" s="136">
        <f t="shared" ref="L265:L271" si="32">K265*J265</f>
        <v>-261.35000000000002</v>
      </c>
      <c r="M265" s="76"/>
      <c r="N265" s="137">
        <f t="shared" si="29"/>
        <v>-309</v>
      </c>
      <c r="O265" s="79">
        <f t="shared" si="30"/>
        <v>-6.4847848898216158</v>
      </c>
      <c r="Q265" s="126"/>
      <c r="R265" s="126"/>
      <c r="S265" s="126"/>
      <c r="T265" s="126"/>
      <c r="U265" s="126"/>
      <c r="V265" s="126"/>
      <c r="W265" s="126"/>
      <c r="X265" s="126"/>
      <c r="Y265" s="126"/>
      <c r="Z265" s="126"/>
      <c r="AA265" s="126"/>
      <c r="AB265" s="126"/>
      <c r="AC265" s="126"/>
    </row>
    <row r="266" spans="1:63" x14ac:dyDescent="0.3">
      <c r="B266" s="17"/>
      <c r="C266" s="73"/>
      <c r="D266" s="7"/>
      <c r="E266" s="73"/>
      <c r="F266" s="8"/>
      <c r="G266" s="74">
        <f>$F243</f>
        <v>500</v>
      </c>
      <c r="H266" s="136">
        <f t="shared" si="31"/>
        <v>0</v>
      </c>
      <c r="I266" s="82"/>
      <c r="J266" s="8"/>
      <c r="K266" s="74">
        <f>$F243</f>
        <v>500</v>
      </c>
      <c r="L266" s="136">
        <f t="shared" si="32"/>
        <v>0</v>
      </c>
      <c r="M266" s="83"/>
      <c r="N266" s="137">
        <f t="shared" si="29"/>
        <v>0</v>
      </c>
      <c r="O266" s="79" t="str">
        <f t="shared" si="30"/>
        <v/>
      </c>
      <c r="Q266" s="126"/>
      <c r="R266" s="126"/>
      <c r="S266" s="126"/>
      <c r="T266" s="126"/>
      <c r="U266" s="126"/>
      <c r="V266" s="126"/>
      <c r="W266" s="126"/>
      <c r="X266" s="126"/>
      <c r="Y266" s="126"/>
      <c r="Z266" s="126"/>
      <c r="AA266" s="126"/>
      <c r="AB266" s="126"/>
      <c r="AC266" s="126"/>
    </row>
    <row r="267" spans="1:63" x14ac:dyDescent="0.3">
      <c r="B267" s="17"/>
      <c r="C267" s="73"/>
      <c r="D267" s="7"/>
      <c r="E267" s="73"/>
      <c r="F267" s="8"/>
      <c r="G267" s="74">
        <f>$F243</f>
        <v>500</v>
      </c>
      <c r="H267" s="136">
        <f t="shared" si="31"/>
        <v>0</v>
      </c>
      <c r="I267" s="82"/>
      <c r="J267" s="8"/>
      <c r="K267" s="74">
        <f>$F243</f>
        <v>500</v>
      </c>
      <c r="L267" s="136">
        <f t="shared" si="32"/>
        <v>0</v>
      </c>
      <c r="M267" s="83"/>
      <c r="N267" s="137">
        <f t="shared" si="29"/>
        <v>0</v>
      </c>
      <c r="O267" s="79" t="str">
        <f t="shared" si="30"/>
        <v/>
      </c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  <c r="AB267" s="126"/>
      <c r="AC267" s="126"/>
    </row>
    <row r="268" spans="1:63" x14ac:dyDescent="0.3">
      <c r="B268" s="17"/>
      <c r="C268" s="73"/>
      <c r="D268" s="7"/>
      <c r="E268" s="73"/>
      <c r="F268" s="8"/>
      <c r="G268" s="74">
        <f>$F243</f>
        <v>500</v>
      </c>
      <c r="H268" s="136">
        <f t="shared" si="31"/>
        <v>0</v>
      </c>
      <c r="I268" s="82"/>
      <c r="J268" s="8"/>
      <c r="K268" s="74">
        <f>$F243</f>
        <v>500</v>
      </c>
      <c r="L268" s="136">
        <f t="shared" si="32"/>
        <v>0</v>
      </c>
      <c r="M268" s="83"/>
      <c r="N268" s="137">
        <f t="shared" si="29"/>
        <v>0</v>
      </c>
      <c r="O268" s="79" t="str">
        <f t="shared" si="30"/>
        <v/>
      </c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</row>
    <row r="269" spans="1:63" x14ac:dyDescent="0.3">
      <c r="B269" s="80" t="s">
        <v>35</v>
      </c>
      <c r="C269" s="73"/>
      <c r="D269" s="7" t="s">
        <v>67</v>
      </c>
      <c r="E269" s="73"/>
      <c r="F269" s="135">
        <v>6.3799999999999996E-2</v>
      </c>
      <c r="G269" s="74">
        <f>$F243</f>
        <v>500</v>
      </c>
      <c r="H269" s="136">
        <f t="shared" si="31"/>
        <v>31.9</v>
      </c>
      <c r="I269" s="76"/>
      <c r="J269" s="132">
        <v>0.1313</v>
      </c>
      <c r="K269" s="74">
        <f>$F243</f>
        <v>500</v>
      </c>
      <c r="L269" s="136">
        <f t="shared" si="32"/>
        <v>65.650000000000006</v>
      </c>
      <c r="M269" s="76"/>
      <c r="N269" s="137">
        <f t="shared" si="29"/>
        <v>33.750000000000007</v>
      </c>
      <c r="O269" s="79">
        <f t="shared" si="30"/>
        <v>1.0579937304075238</v>
      </c>
      <c r="Q269" s="126"/>
      <c r="R269" s="126"/>
      <c r="S269" s="126"/>
      <c r="T269" s="126"/>
      <c r="U269" s="126"/>
      <c r="V269" s="126"/>
      <c r="W269" s="126"/>
      <c r="X269" s="126"/>
      <c r="Y269" s="126"/>
      <c r="Z269" s="126"/>
      <c r="AA269" s="126"/>
      <c r="AB269" s="126"/>
      <c r="AC269" s="126"/>
    </row>
    <row r="270" spans="1:63" x14ac:dyDescent="0.3">
      <c r="B270" s="80" t="s">
        <v>36</v>
      </c>
      <c r="C270" s="73"/>
      <c r="D270" s="7" t="s">
        <v>27</v>
      </c>
      <c r="E270" s="73"/>
      <c r="F270" s="138">
        <f>IF(ISBLANK(D241)=TRUE, 0, IF(D241="TOU", 0.64*$F280+0.18*$F281+0.18*$F282, IF(AND(D241="non-TOU", G284&gt;0), F284,F283)))</f>
        <v>8.7999999999999995E-2</v>
      </c>
      <c r="G270" s="18">
        <f>$F244*(1+$F299)-$F244</f>
        <v>7540</v>
      </c>
      <c r="H270" s="136">
        <f t="shared" si="31"/>
        <v>663.52</v>
      </c>
      <c r="I270" s="76"/>
      <c r="J270" s="138">
        <f>+F270</f>
        <v>8.7999999999999995E-2</v>
      </c>
      <c r="K270" s="18">
        <f>$F244*(1+$J299)-$F244</f>
        <v>7520.0000000000291</v>
      </c>
      <c r="L270" s="136">
        <f t="shared" si="32"/>
        <v>661.76000000000249</v>
      </c>
      <c r="M270" s="76"/>
      <c r="N270" s="137">
        <f t="shared" si="29"/>
        <v>-1.7599999999974898</v>
      </c>
      <c r="O270" s="79">
        <f t="shared" si="30"/>
        <v>-2.6525198938954211E-3</v>
      </c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  <c r="AA270" s="126"/>
      <c r="AB270" s="126"/>
      <c r="AC270" s="126"/>
    </row>
    <row r="271" spans="1:63" x14ac:dyDescent="0.3">
      <c r="B271" s="80" t="s">
        <v>37</v>
      </c>
      <c r="C271" s="73"/>
      <c r="D271" s="7" t="s">
        <v>24</v>
      </c>
      <c r="E271" s="73"/>
      <c r="F271" s="138">
        <v>0</v>
      </c>
      <c r="G271" s="74">
        <v>1</v>
      </c>
      <c r="H271" s="136">
        <f t="shared" si="31"/>
        <v>0</v>
      </c>
      <c r="I271" s="76"/>
      <c r="J271" s="138"/>
      <c r="K271" s="81">
        <v>1</v>
      </c>
      <c r="L271" s="136">
        <f t="shared" si="32"/>
        <v>0</v>
      </c>
      <c r="M271" s="76"/>
      <c r="N271" s="137">
        <f t="shared" si="29"/>
        <v>0</v>
      </c>
      <c r="O271" s="79"/>
      <c r="Q271" s="126"/>
      <c r="R271" s="126"/>
      <c r="S271" s="126"/>
      <c r="T271" s="126"/>
      <c r="U271" s="126"/>
      <c r="V271" s="126"/>
      <c r="W271" s="126"/>
      <c r="X271" s="126"/>
      <c r="Y271" s="126"/>
      <c r="Z271" s="126"/>
      <c r="AA271" s="126"/>
      <c r="AB271" s="126"/>
      <c r="AC271" s="126"/>
    </row>
    <row r="272" spans="1:63" s="4" customFormat="1" x14ac:dyDescent="0.3">
      <c r="A272" s="60"/>
      <c r="B272" s="19" t="s">
        <v>38</v>
      </c>
      <c r="C272" s="20"/>
      <c r="D272" s="20"/>
      <c r="E272" s="20"/>
      <c r="F272" s="21"/>
      <c r="G272" s="22"/>
      <c r="H272" s="23">
        <f>SUM(H265:H271)+H264</f>
        <v>2804.2700000000004</v>
      </c>
      <c r="I272" s="13"/>
      <c r="J272" s="22"/>
      <c r="K272" s="24"/>
      <c r="L272" s="23">
        <f>SUM(L265:L271)+L264</f>
        <v>2886.260000000002</v>
      </c>
      <c r="M272" s="13"/>
      <c r="N272" s="15">
        <f t="shared" si="29"/>
        <v>81.990000000001601</v>
      </c>
      <c r="O272" s="16">
        <f t="shared" ref="O272:O284" si="33">IF((H272)=0,"",(N272/H272))</f>
        <v>2.9237555584876486E-2</v>
      </c>
      <c r="P272" s="60"/>
      <c r="Q272" s="126"/>
      <c r="R272" s="126"/>
      <c r="S272" s="126"/>
      <c r="T272" s="126"/>
      <c r="U272" s="126"/>
      <c r="V272" s="126"/>
      <c r="W272" s="126"/>
      <c r="X272" s="126"/>
      <c r="Y272" s="126"/>
      <c r="Z272" s="126"/>
      <c r="AA272" s="126"/>
      <c r="AB272" s="126"/>
      <c r="AC272" s="126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</row>
    <row r="273" spans="1:63" x14ac:dyDescent="0.3">
      <c r="B273" s="76" t="s">
        <v>39</v>
      </c>
      <c r="C273" s="76"/>
      <c r="D273" s="25" t="s">
        <v>67</v>
      </c>
      <c r="E273" s="76"/>
      <c r="F273" s="135">
        <v>2.8561000000000001</v>
      </c>
      <c r="G273" s="18">
        <f>F243*(1+F299)</f>
        <v>518.85</v>
      </c>
      <c r="H273" s="136">
        <f>G273*F273</f>
        <v>1481.8874850000002</v>
      </c>
      <c r="I273" s="76"/>
      <c r="J273" s="135">
        <f>+$J$48</f>
        <v>2.8328000000000002</v>
      </c>
      <c r="K273" s="18">
        <f>F243*(1+J299)</f>
        <v>518.80000000000007</v>
      </c>
      <c r="L273" s="136">
        <f>K273*J273</f>
        <v>1469.6566400000004</v>
      </c>
      <c r="M273" s="76"/>
      <c r="N273" s="136">
        <f t="shared" si="29"/>
        <v>-12.230844999999817</v>
      </c>
      <c r="O273" s="79">
        <f t="shared" si="33"/>
        <v>-8.2535584676996007E-3</v>
      </c>
      <c r="Q273" s="126"/>
      <c r="R273" s="126"/>
      <c r="S273" s="126"/>
      <c r="T273" s="126"/>
      <c r="U273" s="126"/>
      <c r="V273" s="126"/>
      <c r="W273" s="126"/>
      <c r="X273" s="126"/>
      <c r="Y273" s="126"/>
      <c r="Z273" s="126"/>
      <c r="AA273" s="126"/>
      <c r="AB273" s="126"/>
      <c r="AC273" s="126"/>
    </row>
    <row r="274" spans="1:63" x14ac:dyDescent="0.3">
      <c r="B274" s="85" t="s">
        <v>40</v>
      </c>
      <c r="C274" s="76"/>
      <c r="D274" s="25" t="s">
        <v>67</v>
      </c>
      <c r="E274" s="76"/>
      <c r="F274" s="135">
        <v>1.9374</v>
      </c>
      <c r="G274" s="18">
        <f>G273</f>
        <v>518.85</v>
      </c>
      <c r="H274" s="136">
        <f>G274*F274</f>
        <v>1005.2199900000001</v>
      </c>
      <c r="I274" s="76"/>
      <c r="J274" s="135">
        <f>+$J$49</f>
        <v>1.8771</v>
      </c>
      <c r="K274" s="18">
        <f>K273</f>
        <v>518.80000000000007</v>
      </c>
      <c r="L274" s="136">
        <f>K274*J274</f>
        <v>973.83948000000009</v>
      </c>
      <c r="M274" s="76"/>
      <c r="N274" s="136">
        <f t="shared" si="29"/>
        <v>-31.380509999999958</v>
      </c>
      <c r="O274" s="79">
        <f t="shared" si="33"/>
        <v>-3.12175546767628E-2</v>
      </c>
      <c r="Q274" s="126"/>
      <c r="R274" s="126"/>
      <c r="S274" s="126"/>
      <c r="T274" s="126"/>
      <c r="U274" s="126"/>
      <c r="V274" s="126"/>
      <c r="W274" s="126"/>
      <c r="X274" s="126"/>
      <c r="Y274" s="126"/>
      <c r="Z274" s="126"/>
      <c r="AA274" s="126"/>
      <c r="AB274" s="126"/>
      <c r="AC274" s="126"/>
    </row>
    <row r="275" spans="1:63" s="4" customFormat="1" x14ac:dyDescent="0.3">
      <c r="A275" s="60"/>
      <c r="B275" s="19" t="s">
        <v>41</v>
      </c>
      <c r="C275" s="20"/>
      <c r="D275" s="20"/>
      <c r="E275" s="20"/>
      <c r="F275" s="21"/>
      <c r="G275" s="22"/>
      <c r="H275" s="23">
        <f>SUM(H272:H274)</f>
        <v>5291.3774750000011</v>
      </c>
      <c r="I275" s="13"/>
      <c r="J275" s="26"/>
      <c r="K275" s="22"/>
      <c r="L275" s="23">
        <f>SUM(L272:L274)</f>
        <v>5329.7561200000018</v>
      </c>
      <c r="M275" s="13"/>
      <c r="N275" s="15">
        <f t="shared" si="29"/>
        <v>38.378645000000688</v>
      </c>
      <c r="O275" s="16">
        <f t="shared" si="33"/>
        <v>7.2530537050752896E-3</v>
      </c>
      <c r="P275" s="60"/>
      <c r="Q275" s="126"/>
      <c r="R275" s="126"/>
      <c r="S275" s="126"/>
      <c r="T275" s="126"/>
      <c r="U275" s="126"/>
      <c r="V275" s="126"/>
      <c r="W275" s="126"/>
      <c r="X275" s="126"/>
      <c r="Y275" s="126"/>
      <c r="Z275" s="126"/>
      <c r="AA275" s="126"/>
      <c r="AB275" s="126"/>
      <c r="AC275" s="126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/>
      <c r="BC275" s="60"/>
      <c r="BD275" s="60"/>
      <c r="BE275" s="60"/>
      <c r="BF275" s="60"/>
      <c r="BG275" s="60"/>
      <c r="BH275" s="60"/>
      <c r="BI275" s="60"/>
      <c r="BJ275" s="60"/>
      <c r="BK275" s="60"/>
    </row>
    <row r="276" spans="1:63" x14ac:dyDescent="0.3">
      <c r="B276" s="86" t="s">
        <v>42</v>
      </c>
      <c r="C276" s="73"/>
      <c r="D276" s="7" t="s">
        <v>27</v>
      </c>
      <c r="E276" s="73"/>
      <c r="F276" s="135">
        <v>4.4000000000000003E-3</v>
      </c>
      <c r="G276" s="18">
        <f>F244*(1+F299)</f>
        <v>207540</v>
      </c>
      <c r="H276" s="139">
        <f t="shared" ref="H276:H284" si="34">G276*F276</f>
        <v>913.17600000000004</v>
      </c>
      <c r="I276" s="76"/>
      <c r="J276" s="135">
        <f>+F276</f>
        <v>4.4000000000000003E-3</v>
      </c>
      <c r="K276" s="18">
        <f>F244*(1+J299)</f>
        <v>207520.00000000003</v>
      </c>
      <c r="L276" s="139">
        <f t="shared" ref="L276:L284" si="35">K276*J276</f>
        <v>913.08800000000019</v>
      </c>
      <c r="M276" s="76"/>
      <c r="N276" s="137">
        <f t="shared" si="29"/>
        <v>-8.7999999999851752E-2</v>
      </c>
      <c r="O276" s="87">
        <f t="shared" si="33"/>
        <v>-9.6366965404097069E-5</v>
      </c>
      <c r="Q276" s="126"/>
      <c r="R276" s="126"/>
      <c r="S276" s="126"/>
      <c r="T276" s="126"/>
      <c r="U276" s="126"/>
      <c r="V276" s="126"/>
      <c r="W276" s="126"/>
      <c r="X276" s="126"/>
      <c r="Y276" s="126"/>
      <c r="Z276" s="126"/>
      <c r="AA276" s="126"/>
      <c r="AB276" s="126"/>
      <c r="AC276" s="126"/>
    </row>
    <row r="277" spans="1:63" x14ac:dyDescent="0.3">
      <c r="B277" s="86" t="s">
        <v>43</v>
      </c>
      <c r="C277" s="73"/>
      <c r="D277" s="7" t="s">
        <v>27</v>
      </c>
      <c r="E277" s="73"/>
      <c r="F277" s="135">
        <v>1.1999999999999999E-3</v>
      </c>
      <c r="G277" s="18">
        <f>+G276</f>
        <v>207540</v>
      </c>
      <c r="H277" s="139">
        <f t="shared" si="34"/>
        <v>249.04799999999997</v>
      </c>
      <c r="I277" s="76"/>
      <c r="J277" s="135">
        <v>1.2999999999999999E-3</v>
      </c>
      <c r="K277" s="18">
        <f>+K276</f>
        <v>207520.00000000003</v>
      </c>
      <c r="L277" s="139">
        <f t="shared" si="35"/>
        <v>269.77600000000001</v>
      </c>
      <c r="M277" s="76"/>
      <c r="N277" s="137">
        <f t="shared" si="29"/>
        <v>20.728000000000037</v>
      </c>
      <c r="O277" s="87">
        <f t="shared" si="33"/>
        <v>8.3228935787478878E-2</v>
      </c>
      <c r="Q277" s="126"/>
      <c r="R277" s="126"/>
      <c r="S277" s="126"/>
      <c r="T277" s="126"/>
      <c r="U277" s="126"/>
      <c r="V277" s="126"/>
      <c r="W277" s="126"/>
      <c r="X277" s="126"/>
      <c r="Y277" s="126"/>
      <c r="Z277" s="126"/>
      <c r="AA277" s="126"/>
      <c r="AB277" s="126"/>
      <c r="AC277" s="126"/>
    </row>
    <row r="278" spans="1:63" x14ac:dyDescent="0.3">
      <c r="B278" s="73" t="s">
        <v>44</v>
      </c>
      <c r="C278" s="73"/>
      <c r="D278" s="7" t="s">
        <v>24</v>
      </c>
      <c r="E278" s="73"/>
      <c r="F278" s="135">
        <v>0.25</v>
      </c>
      <c r="G278" s="81">
        <v>1</v>
      </c>
      <c r="H278" s="139">
        <f t="shared" si="34"/>
        <v>0.25</v>
      </c>
      <c r="I278" s="76"/>
      <c r="J278" s="135">
        <f>+F278</f>
        <v>0.25</v>
      </c>
      <c r="K278" s="77">
        <v>1</v>
      </c>
      <c r="L278" s="139">
        <f t="shared" si="35"/>
        <v>0.25</v>
      </c>
      <c r="M278" s="76"/>
      <c r="N278" s="137">
        <f t="shared" si="29"/>
        <v>0</v>
      </c>
      <c r="O278" s="87">
        <f t="shared" si="33"/>
        <v>0</v>
      </c>
      <c r="Q278" s="126"/>
      <c r="R278" s="126"/>
      <c r="S278" s="126"/>
      <c r="T278" s="126"/>
      <c r="U278" s="126"/>
      <c r="V278" s="126"/>
      <c r="W278" s="126"/>
      <c r="X278" s="126"/>
      <c r="Y278" s="126"/>
      <c r="Z278" s="126"/>
      <c r="AA278" s="126"/>
      <c r="AB278" s="126"/>
      <c r="AC278" s="126"/>
    </row>
    <row r="279" spans="1:63" x14ac:dyDescent="0.3">
      <c r="B279" s="73" t="s">
        <v>45</v>
      </c>
      <c r="C279" s="73"/>
      <c r="D279" s="7" t="s">
        <v>27</v>
      </c>
      <c r="E279" s="73"/>
      <c r="F279" s="135">
        <v>7.0000000000000001E-3</v>
      </c>
      <c r="G279" s="84">
        <f>F244</f>
        <v>200000</v>
      </c>
      <c r="H279" s="139">
        <f t="shared" si="34"/>
        <v>1400</v>
      </c>
      <c r="I279" s="76"/>
      <c r="J279" s="135">
        <f>+F279</f>
        <v>7.0000000000000001E-3</v>
      </c>
      <c r="K279" s="77">
        <f>F244</f>
        <v>200000</v>
      </c>
      <c r="L279" s="139">
        <f t="shared" si="35"/>
        <v>1400</v>
      </c>
      <c r="M279" s="76"/>
      <c r="N279" s="137">
        <f t="shared" si="29"/>
        <v>0</v>
      </c>
      <c r="O279" s="87">
        <f t="shared" si="33"/>
        <v>0</v>
      </c>
      <c r="Q279" s="126"/>
      <c r="R279" s="126"/>
      <c r="S279" s="126"/>
      <c r="T279" s="126"/>
      <c r="U279" s="126"/>
      <c r="V279" s="126"/>
      <c r="W279" s="126"/>
      <c r="X279" s="126"/>
      <c r="Y279" s="126"/>
      <c r="Z279" s="126"/>
      <c r="AA279" s="126"/>
      <c r="AB279" s="126"/>
      <c r="AC279" s="126"/>
    </row>
    <row r="280" spans="1:63" x14ac:dyDescent="0.3">
      <c r="B280" s="80" t="s">
        <v>46</v>
      </c>
      <c r="C280" s="73"/>
      <c r="D280" s="7" t="s">
        <v>27</v>
      </c>
      <c r="E280" s="73"/>
      <c r="F280" s="138">
        <v>6.7000000000000004E-2</v>
      </c>
      <c r="G280" s="27">
        <f>0.64*$F244</f>
        <v>128000</v>
      </c>
      <c r="H280" s="139">
        <f t="shared" si="34"/>
        <v>8576</v>
      </c>
      <c r="I280" s="76"/>
      <c r="J280" s="138">
        <v>6.7000000000000004E-2</v>
      </c>
      <c r="K280" s="28">
        <f>G280</f>
        <v>128000</v>
      </c>
      <c r="L280" s="139">
        <f t="shared" si="35"/>
        <v>8576</v>
      </c>
      <c r="M280" s="76"/>
      <c r="N280" s="137">
        <f t="shared" si="29"/>
        <v>0</v>
      </c>
      <c r="O280" s="87">
        <f t="shared" si="33"/>
        <v>0</v>
      </c>
      <c r="Q280" s="126"/>
      <c r="R280" s="126"/>
      <c r="S280" s="127"/>
      <c r="T280" s="126"/>
      <c r="U280" s="126"/>
      <c r="V280" s="126"/>
      <c r="W280" s="126"/>
      <c r="X280" s="126"/>
      <c r="Y280" s="126"/>
      <c r="Z280" s="126"/>
      <c r="AA280" s="126"/>
      <c r="AB280" s="126"/>
      <c r="AC280" s="126"/>
    </row>
    <row r="281" spans="1:63" x14ac:dyDescent="0.3">
      <c r="B281" s="80" t="s">
        <v>47</v>
      </c>
      <c r="C281" s="73"/>
      <c r="D281" s="7" t="s">
        <v>27</v>
      </c>
      <c r="E281" s="73"/>
      <c r="F281" s="138">
        <v>0.104</v>
      </c>
      <c r="G281" s="27">
        <f>0.18*$F244</f>
        <v>36000</v>
      </c>
      <c r="H281" s="139">
        <f t="shared" si="34"/>
        <v>3744</v>
      </c>
      <c r="I281" s="76"/>
      <c r="J281" s="138">
        <v>0.104</v>
      </c>
      <c r="K281" s="28">
        <f>G281</f>
        <v>36000</v>
      </c>
      <c r="L281" s="139">
        <f t="shared" si="35"/>
        <v>3744</v>
      </c>
      <c r="M281" s="76"/>
      <c r="N281" s="137">
        <f t="shared" si="29"/>
        <v>0</v>
      </c>
      <c r="O281" s="87">
        <f t="shared" si="33"/>
        <v>0</v>
      </c>
      <c r="Q281" s="126"/>
      <c r="R281" s="126"/>
      <c r="S281" s="127"/>
      <c r="T281" s="126"/>
      <c r="U281" s="126"/>
      <c r="V281" s="126"/>
      <c r="W281" s="126"/>
      <c r="X281" s="126"/>
      <c r="Y281" s="126"/>
      <c r="Z281" s="126"/>
      <c r="AA281" s="126"/>
      <c r="AB281" s="126"/>
      <c r="AC281" s="126"/>
    </row>
    <row r="282" spans="1:63" x14ac:dyDescent="0.3">
      <c r="B282" s="64" t="s">
        <v>48</v>
      </c>
      <c r="C282" s="73"/>
      <c r="D282" s="7" t="s">
        <v>27</v>
      </c>
      <c r="E282" s="73"/>
      <c r="F282" s="138">
        <v>0.124</v>
      </c>
      <c r="G282" s="27">
        <f>0.18*$F244</f>
        <v>36000</v>
      </c>
      <c r="H282" s="139">
        <f t="shared" si="34"/>
        <v>4464</v>
      </c>
      <c r="I282" s="76"/>
      <c r="J282" s="138">
        <v>0.124</v>
      </c>
      <c r="K282" s="28">
        <f>G282</f>
        <v>36000</v>
      </c>
      <c r="L282" s="139">
        <f t="shared" si="35"/>
        <v>4464</v>
      </c>
      <c r="M282" s="76"/>
      <c r="N282" s="137">
        <f t="shared" si="29"/>
        <v>0</v>
      </c>
      <c r="O282" s="87">
        <f t="shared" si="33"/>
        <v>0</v>
      </c>
      <c r="Q282" s="126"/>
      <c r="R282" s="126"/>
      <c r="S282" s="127"/>
      <c r="T282" s="126"/>
      <c r="U282" s="126"/>
      <c r="V282" s="126"/>
      <c r="W282" s="126"/>
      <c r="X282" s="126"/>
      <c r="Y282" s="126"/>
      <c r="Z282" s="126"/>
      <c r="AA282" s="126"/>
      <c r="AB282" s="126"/>
      <c r="AC282" s="126"/>
    </row>
    <row r="283" spans="1:63" s="92" customFormat="1" x14ac:dyDescent="0.25">
      <c r="B283" s="89" t="s">
        <v>49</v>
      </c>
      <c r="C283" s="90"/>
      <c r="D283" s="29" t="s">
        <v>27</v>
      </c>
      <c r="E283" s="90"/>
      <c r="F283" s="138">
        <v>7.4999999999999997E-2</v>
      </c>
      <c r="G283" s="30">
        <f>IF(AND($T$1=1, F244&gt;=750), 750, IF(AND($T$1=1, AND(F244&lt;750, F244&gt;=0)), F244, IF(AND($T$1=2, F244&gt;=750), 750, IF(AND($T$1=2, AND(F244&lt;750, F244&gt;=0)), F244))))</f>
        <v>750</v>
      </c>
      <c r="H283" s="139">
        <f t="shared" si="34"/>
        <v>56.25</v>
      </c>
      <c r="I283" s="91"/>
      <c r="J283" s="138">
        <v>7.4999999999999997E-2</v>
      </c>
      <c r="K283" s="31">
        <f>G283</f>
        <v>750</v>
      </c>
      <c r="L283" s="139">
        <f t="shared" si="35"/>
        <v>56.25</v>
      </c>
      <c r="M283" s="91"/>
      <c r="N283" s="140">
        <f t="shared" si="29"/>
        <v>0</v>
      </c>
      <c r="O283" s="87">
        <f t="shared" si="33"/>
        <v>0</v>
      </c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  <c r="AA283" s="128"/>
      <c r="AB283" s="128"/>
      <c r="AC283" s="128"/>
    </row>
    <row r="284" spans="1:63" s="92" customFormat="1" ht="15" thickBot="1" x14ac:dyDescent="0.3">
      <c r="B284" s="89" t="s">
        <v>50</v>
      </c>
      <c r="C284" s="90"/>
      <c r="D284" s="29" t="s">
        <v>27</v>
      </c>
      <c r="E284" s="90"/>
      <c r="F284" s="138">
        <v>8.7999999999999995E-2</v>
      </c>
      <c r="G284" s="30">
        <f>IF(AND($T$1=1, F244&gt;=750), F244-750, IF(AND($T$1=1, AND(F244&lt;750, F244&gt;=0)), 0, IF(AND($T$1=2, F244&gt;=750), F244-750, IF(AND($T$1=2, AND(F244&lt;750, F244&gt;=0)), 0))))</f>
        <v>199250</v>
      </c>
      <c r="H284" s="139">
        <f t="shared" si="34"/>
        <v>17534</v>
      </c>
      <c r="I284" s="91"/>
      <c r="J284" s="138">
        <v>8.7999999999999995E-2</v>
      </c>
      <c r="K284" s="31">
        <f>G284</f>
        <v>199250</v>
      </c>
      <c r="L284" s="139">
        <f t="shared" si="35"/>
        <v>17534</v>
      </c>
      <c r="M284" s="91"/>
      <c r="N284" s="140">
        <f t="shared" si="29"/>
        <v>0</v>
      </c>
      <c r="O284" s="87">
        <f t="shared" si="33"/>
        <v>0</v>
      </c>
      <c r="Q284" s="128"/>
      <c r="R284" s="128"/>
      <c r="S284" s="128"/>
      <c r="T284" s="128"/>
      <c r="U284" s="128"/>
      <c r="V284" s="128"/>
      <c r="W284" s="128"/>
      <c r="X284" s="128"/>
      <c r="Y284" s="128"/>
      <c r="Z284" s="128"/>
      <c r="AA284" s="128"/>
      <c r="AB284" s="128"/>
      <c r="AC284" s="128"/>
    </row>
    <row r="285" spans="1:63" s="4" customFormat="1" ht="15" thickBot="1" x14ac:dyDescent="0.35">
      <c r="A285" s="60"/>
      <c r="B285" s="32"/>
      <c r="C285" s="33"/>
      <c r="D285" s="124"/>
      <c r="E285" s="33"/>
      <c r="F285" s="35"/>
      <c r="G285" s="36"/>
      <c r="H285" s="122"/>
      <c r="I285" s="123"/>
      <c r="J285" s="35"/>
      <c r="K285" s="39"/>
      <c r="L285" s="122"/>
      <c r="M285" s="123"/>
      <c r="N285" s="40"/>
      <c r="O285" s="41"/>
      <c r="P285" s="60"/>
      <c r="Q285" s="126"/>
      <c r="R285" s="126"/>
      <c r="S285" s="126"/>
      <c r="T285" s="126"/>
      <c r="U285" s="126"/>
      <c r="V285" s="126"/>
      <c r="W285" s="126"/>
      <c r="X285" s="126"/>
      <c r="Y285" s="126"/>
      <c r="Z285" s="126"/>
      <c r="AA285" s="126"/>
      <c r="AB285" s="126"/>
      <c r="AC285" s="126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/>
      <c r="BC285" s="60"/>
      <c r="BD285" s="60"/>
      <c r="BE285" s="60"/>
      <c r="BF285" s="60"/>
      <c r="BG285" s="60"/>
      <c r="BH285" s="60"/>
      <c r="BI285" s="60"/>
      <c r="BJ285" s="60"/>
      <c r="BK285" s="60"/>
    </row>
    <row r="286" spans="1:63" x14ac:dyDescent="0.3">
      <c r="B286" s="93" t="s">
        <v>51</v>
      </c>
      <c r="C286" s="73"/>
      <c r="D286" s="73"/>
      <c r="E286" s="73"/>
      <c r="F286" s="94"/>
      <c r="G286" s="95"/>
      <c r="H286" s="141">
        <f>SUM(H276:H282,H275)</f>
        <v>24637.851475000003</v>
      </c>
      <c r="I286" s="96"/>
      <c r="J286" s="97"/>
      <c r="K286" s="97"/>
      <c r="L286" s="144">
        <f>SUM(L276:L282,L275)</f>
        <v>24696.870120000003</v>
      </c>
      <c r="M286" s="145"/>
      <c r="N286" s="146">
        <f>L286-H286</f>
        <v>59.018645000000106</v>
      </c>
      <c r="O286" s="98">
        <f>IF((H286)=0,"",(N286/H286))</f>
        <v>2.3954460907391318E-3</v>
      </c>
      <c r="Q286" s="126"/>
      <c r="R286" s="126"/>
      <c r="S286" s="127"/>
      <c r="T286" s="126"/>
      <c r="U286" s="126"/>
      <c r="V286" s="126"/>
      <c r="W286" s="126"/>
      <c r="X286" s="126"/>
      <c r="Y286" s="126"/>
      <c r="Z286" s="126"/>
      <c r="AA286" s="126"/>
      <c r="AB286" s="126"/>
      <c r="AC286" s="126"/>
    </row>
    <row r="287" spans="1:63" x14ac:dyDescent="0.3">
      <c r="B287" s="99" t="s">
        <v>52</v>
      </c>
      <c r="C287" s="73"/>
      <c r="D287" s="73"/>
      <c r="E287" s="73"/>
      <c r="F287" s="100">
        <v>0.13</v>
      </c>
      <c r="G287" s="101"/>
      <c r="H287" s="142">
        <f>H286*F287</f>
        <v>3202.9206917500005</v>
      </c>
      <c r="I287" s="102"/>
      <c r="J287" s="103">
        <v>0.13</v>
      </c>
      <c r="K287" s="102"/>
      <c r="L287" s="147">
        <f>L286*J287</f>
        <v>3210.5931156000006</v>
      </c>
      <c r="M287" s="148"/>
      <c r="N287" s="149">
        <f>L287-H287</f>
        <v>7.6724238500000865</v>
      </c>
      <c r="O287" s="104">
        <f>IF((H287)=0,"",(N287/H287))</f>
        <v>2.3954460907391543E-3</v>
      </c>
      <c r="Q287" s="126"/>
      <c r="R287" s="126"/>
      <c r="S287" s="127"/>
      <c r="T287" s="126"/>
      <c r="U287" s="126"/>
      <c r="V287" s="126"/>
      <c r="W287" s="126"/>
      <c r="X287" s="126"/>
      <c r="Y287" s="126"/>
      <c r="Z287" s="126"/>
      <c r="AA287" s="126"/>
      <c r="AB287" s="126"/>
      <c r="AC287" s="126"/>
    </row>
    <row r="288" spans="1:63" x14ac:dyDescent="0.3">
      <c r="B288" s="105" t="s">
        <v>53</v>
      </c>
      <c r="C288" s="73"/>
      <c r="D288" s="73"/>
      <c r="E288" s="73"/>
      <c r="F288" s="106"/>
      <c r="G288" s="101"/>
      <c r="H288" s="142">
        <f>H286+H287</f>
        <v>27840.772166750005</v>
      </c>
      <c r="I288" s="102"/>
      <c r="J288" s="102"/>
      <c r="K288" s="102"/>
      <c r="L288" s="147">
        <f>L286+L287</f>
        <v>27907.463235600004</v>
      </c>
      <c r="M288" s="148"/>
      <c r="N288" s="149">
        <f>L288-H288</f>
        <v>66.691068849999283</v>
      </c>
      <c r="O288" s="104">
        <f>IF((H288)=0,"",(N288/H288))</f>
        <v>2.3954460907391014E-3</v>
      </c>
      <c r="Q288" s="126"/>
      <c r="R288" s="126"/>
      <c r="S288" s="127"/>
      <c r="T288" s="126"/>
      <c r="U288" s="126"/>
      <c r="V288" s="126"/>
      <c r="W288" s="126"/>
      <c r="X288" s="126"/>
      <c r="Y288" s="126"/>
      <c r="Z288" s="126"/>
      <c r="AA288" s="126"/>
      <c r="AB288" s="126"/>
      <c r="AC288" s="126"/>
    </row>
    <row r="289" spans="1:63" ht="14.4" customHeight="1" x14ac:dyDescent="0.3">
      <c r="B289" s="172" t="s">
        <v>54</v>
      </c>
      <c r="C289" s="172"/>
      <c r="D289" s="172"/>
      <c r="E289" s="73"/>
      <c r="F289" s="106"/>
      <c r="G289" s="101"/>
      <c r="H289" s="143">
        <v>0</v>
      </c>
      <c r="I289" s="102"/>
      <c r="J289" s="102"/>
      <c r="K289" s="102"/>
      <c r="L289" s="150">
        <v>0</v>
      </c>
      <c r="M289" s="148"/>
      <c r="N289" s="151">
        <f>L289-H289</f>
        <v>0</v>
      </c>
      <c r="O289" s="107" t="str">
        <f>IF((H289)=0,"",(N289/H289))</f>
        <v/>
      </c>
      <c r="Q289" s="126"/>
      <c r="R289" s="126"/>
      <c r="S289" s="126"/>
      <c r="T289" s="126"/>
      <c r="U289" s="126"/>
      <c r="V289" s="126"/>
      <c r="W289" s="126"/>
      <c r="X289" s="126"/>
      <c r="Y289" s="126"/>
      <c r="Z289" s="126"/>
      <c r="AA289" s="126"/>
      <c r="AB289" s="126"/>
      <c r="AC289" s="126"/>
    </row>
    <row r="290" spans="1:63" s="4" customFormat="1" ht="15" thickBot="1" x14ac:dyDescent="0.35">
      <c r="A290" s="60"/>
      <c r="B290" s="173" t="s">
        <v>55</v>
      </c>
      <c r="C290" s="173"/>
      <c r="D290" s="173"/>
      <c r="E290" s="42"/>
      <c r="F290" s="43"/>
      <c r="G290" s="44"/>
      <c r="H290" s="45">
        <f>H288+H289</f>
        <v>27840.772166750005</v>
      </c>
      <c r="I290" s="46"/>
      <c r="J290" s="46"/>
      <c r="K290" s="46"/>
      <c r="L290" s="47">
        <f>L288+L289</f>
        <v>27907.463235600004</v>
      </c>
      <c r="M290" s="48"/>
      <c r="N290" s="49">
        <f>L290-H290</f>
        <v>66.691068849999283</v>
      </c>
      <c r="O290" s="50">
        <f>IF((H290)=0,"",(N290/H290))</f>
        <v>2.3954460907391014E-3</v>
      </c>
      <c r="P290" s="60"/>
      <c r="Q290" s="126"/>
      <c r="R290" s="126"/>
      <c r="S290" s="126"/>
      <c r="T290" s="126"/>
      <c r="U290" s="126"/>
      <c r="V290" s="126"/>
      <c r="W290" s="126"/>
      <c r="X290" s="126"/>
      <c r="Y290" s="126"/>
      <c r="Z290" s="126"/>
      <c r="AA290" s="126"/>
      <c r="AB290" s="126"/>
      <c r="AC290" s="126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</row>
    <row r="291" spans="1:63" s="4" customFormat="1" ht="15" thickBot="1" x14ac:dyDescent="0.35">
      <c r="A291" s="60"/>
      <c r="B291" s="32"/>
      <c r="C291" s="33"/>
      <c r="D291" s="34"/>
      <c r="E291" s="33"/>
      <c r="F291" s="35"/>
      <c r="G291" s="36"/>
      <c r="H291" s="37"/>
      <c r="I291" s="38"/>
      <c r="J291" s="35"/>
      <c r="K291" s="39"/>
      <c r="L291" s="37"/>
      <c r="M291" s="123"/>
      <c r="N291" s="40"/>
      <c r="O291" s="41"/>
      <c r="P291" s="60"/>
      <c r="Q291" s="126"/>
      <c r="R291" s="126"/>
      <c r="S291" s="126"/>
      <c r="T291" s="126"/>
      <c r="U291" s="126"/>
      <c r="V291" s="126"/>
      <c r="W291" s="126"/>
      <c r="X291" s="126"/>
      <c r="Y291" s="126"/>
      <c r="Z291" s="126"/>
      <c r="AA291" s="126"/>
      <c r="AB291" s="126"/>
      <c r="AC291" s="126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  <c r="AU291" s="60"/>
      <c r="AV291" s="60"/>
      <c r="AW291" s="60"/>
      <c r="AX291" s="60"/>
      <c r="AY291" s="60"/>
      <c r="AZ291" s="60"/>
      <c r="BA291" s="60"/>
      <c r="BB291" s="60"/>
      <c r="BC291" s="60"/>
      <c r="BD291" s="60"/>
      <c r="BE291" s="60"/>
      <c r="BF291" s="60"/>
      <c r="BG291" s="60"/>
      <c r="BH291" s="60"/>
      <c r="BI291" s="60"/>
      <c r="BJ291" s="60"/>
      <c r="BK291" s="60"/>
    </row>
    <row r="292" spans="1:63" s="92" customFormat="1" ht="13.2" x14ac:dyDescent="0.25">
      <c r="B292" s="108" t="s">
        <v>56</v>
      </c>
      <c r="C292" s="90"/>
      <c r="D292" s="90"/>
      <c r="E292" s="90"/>
      <c r="F292" s="109"/>
      <c r="G292" s="110"/>
      <c r="H292" s="152">
        <f>SUM(H283:H284,H275,H276:H279)</f>
        <v>25444.101474999999</v>
      </c>
      <c r="I292" s="111"/>
      <c r="J292" s="112"/>
      <c r="K292" s="112"/>
      <c r="L292" s="155">
        <f>SUM(L283:L284,L275,L276:L279)</f>
        <v>25503.120120000003</v>
      </c>
      <c r="M292" s="156"/>
      <c r="N292" s="157">
        <f>L292-H292</f>
        <v>59.018645000003744</v>
      </c>
      <c r="O292" s="98">
        <f>IF((H292)=0,"",(N292/H292))</f>
        <v>2.3195413309443163E-3</v>
      </c>
      <c r="Q292" s="128"/>
      <c r="R292" s="128"/>
      <c r="S292" s="128"/>
      <c r="T292" s="128"/>
      <c r="U292" s="128"/>
      <c r="V292" s="128"/>
      <c r="W292" s="128"/>
      <c r="X292" s="128"/>
      <c r="Y292" s="128"/>
      <c r="Z292" s="128"/>
      <c r="AA292" s="128"/>
      <c r="AB292" s="128"/>
      <c r="AC292" s="128"/>
    </row>
    <row r="293" spans="1:63" s="92" customFormat="1" ht="13.2" x14ac:dyDescent="0.25">
      <c r="B293" s="113" t="s">
        <v>52</v>
      </c>
      <c r="C293" s="90"/>
      <c r="D293" s="90"/>
      <c r="E293" s="90"/>
      <c r="F293" s="114">
        <v>0.13</v>
      </c>
      <c r="G293" s="110"/>
      <c r="H293" s="153">
        <f>H292*F293</f>
        <v>3307.7331917500001</v>
      </c>
      <c r="I293" s="115"/>
      <c r="J293" s="116">
        <v>0.13</v>
      </c>
      <c r="K293" s="117"/>
      <c r="L293" s="158">
        <f>L292*J293</f>
        <v>3315.4056156000006</v>
      </c>
      <c r="M293" s="159"/>
      <c r="N293" s="160">
        <f>L293-H293</f>
        <v>7.6724238500005413</v>
      </c>
      <c r="O293" s="104">
        <f>IF((H293)=0,"",(N293/H293))</f>
        <v>2.3195413309443328E-3</v>
      </c>
      <c r="Q293" s="128"/>
      <c r="R293" s="128"/>
      <c r="S293" s="128"/>
      <c r="T293" s="128"/>
      <c r="U293" s="128"/>
      <c r="V293" s="128"/>
      <c r="W293" s="128"/>
      <c r="X293" s="128"/>
      <c r="Y293" s="128"/>
      <c r="Z293" s="128"/>
      <c r="AA293" s="128"/>
      <c r="AB293" s="128"/>
      <c r="AC293" s="128"/>
    </row>
    <row r="294" spans="1:63" s="92" customFormat="1" ht="13.2" x14ac:dyDescent="0.25">
      <c r="B294" s="118" t="s">
        <v>53</v>
      </c>
      <c r="C294" s="90"/>
      <c r="D294" s="90"/>
      <c r="E294" s="90"/>
      <c r="F294" s="119"/>
      <c r="G294" s="120"/>
      <c r="H294" s="153">
        <f>H292+H293</f>
        <v>28751.834666750001</v>
      </c>
      <c r="I294" s="115"/>
      <c r="J294" s="115"/>
      <c r="K294" s="115"/>
      <c r="L294" s="158">
        <f>L292+L293</f>
        <v>28818.525735600004</v>
      </c>
      <c r="M294" s="159"/>
      <c r="N294" s="160">
        <f>L294-H294</f>
        <v>66.691068850002921</v>
      </c>
      <c r="O294" s="104">
        <f>IF((H294)=0,"",(N294/H294))</f>
        <v>2.3195413309442707E-3</v>
      </c>
      <c r="Q294" s="128"/>
      <c r="R294" s="128"/>
      <c r="S294" s="128"/>
      <c r="T294" s="128"/>
      <c r="U294" s="128"/>
      <c r="V294" s="128"/>
      <c r="W294" s="128"/>
      <c r="X294" s="128"/>
      <c r="Y294" s="128"/>
      <c r="Z294" s="128"/>
      <c r="AA294" s="128"/>
      <c r="AB294" s="128"/>
      <c r="AC294" s="128"/>
    </row>
    <row r="295" spans="1:63" s="92" customFormat="1" ht="13.2" customHeight="1" x14ac:dyDescent="0.25">
      <c r="B295" s="174" t="s">
        <v>54</v>
      </c>
      <c r="C295" s="174"/>
      <c r="D295" s="174"/>
      <c r="E295" s="90"/>
      <c r="F295" s="119"/>
      <c r="G295" s="120"/>
      <c r="H295" s="154">
        <v>0</v>
      </c>
      <c r="I295" s="115"/>
      <c r="J295" s="115"/>
      <c r="K295" s="115"/>
      <c r="L295" s="161">
        <v>0</v>
      </c>
      <c r="M295" s="159"/>
      <c r="N295" s="162">
        <f>L295-H295</f>
        <v>0</v>
      </c>
      <c r="O295" s="107" t="str">
        <f>IF((H295)=0,"",(N295/H295))</f>
        <v/>
      </c>
      <c r="Q295" s="128"/>
      <c r="R295" s="128"/>
      <c r="S295" s="128"/>
      <c r="T295" s="128"/>
      <c r="U295" s="128"/>
      <c r="V295" s="128"/>
      <c r="W295" s="128"/>
      <c r="X295" s="128"/>
      <c r="Y295" s="128"/>
      <c r="Z295" s="128"/>
      <c r="AA295" s="128"/>
      <c r="AB295" s="128"/>
      <c r="AC295" s="128"/>
    </row>
    <row r="296" spans="1:63" s="4" customFormat="1" ht="15" thickBot="1" x14ac:dyDescent="0.35">
      <c r="A296" s="60"/>
      <c r="B296" s="173" t="s">
        <v>57</v>
      </c>
      <c r="C296" s="173"/>
      <c r="D296" s="173"/>
      <c r="E296" s="42"/>
      <c r="F296" s="43"/>
      <c r="G296" s="44"/>
      <c r="H296" s="45">
        <f>SUM(H294:H295)</f>
        <v>28751.834666750001</v>
      </c>
      <c r="I296" s="46"/>
      <c r="J296" s="46"/>
      <c r="K296" s="46"/>
      <c r="L296" s="47">
        <f>SUM(L294:L295)</f>
        <v>28818.525735600004</v>
      </c>
      <c r="M296" s="48"/>
      <c r="N296" s="49">
        <f>L296-H296</f>
        <v>66.691068850002921</v>
      </c>
      <c r="O296" s="50">
        <f>IF((H296)=0,"",(N296/H296))</f>
        <v>2.3195413309442707E-3</v>
      </c>
      <c r="P296" s="60"/>
      <c r="Q296" s="126"/>
      <c r="R296" s="126"/>
      <c r="S296" s="126"/>
      <c r="T296" s="126"/>
      <c r="U296" s="126"/>
      <c r="V296" s="126"/>
      <c r="W296" s="126"/>
      <c r="X296" s="126"/>
      <c r="Y296" s="126"/>
      <c r="Z296" s="126"/>
      <c r="AA296" s="126"/>
      <c r="AB296" s="126"/>
      <c r="AC296" s="126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</row>
    <row r="297" spans="1:63" s="4" customFormat="1" ht="15" thickBot="1" x14ac:dyDescent="0.35">
      <c r="A297" s="60"/>
      <c r="B297" s="32"/>
      <c r="C297" s="33"/>
      <c r="D297" s="34"/>
      <c r="E297" s="33"/>
      <c r="F297" s="35"/>
      <c r="G297" s="36"/>
      <c r="H297" s="122"/>
      <c r="I297" s="123"/>
      <c r="J297" s="35"/>
      <c r="K297" s="39"/>
      <c r="L297" s="37"/>
      <c r="M297" s="123"/>
      <c r="N297" s="40"/>
      <c r="O297" s="41"/>
      <c r="P297" s="60"/>
      <c r="Q297" s="126"/>
      <c r="R297" s="126"/>
      <c r="S297" s="126"/>
      <c r="T297" s="126"/>
      <c r="U297" s="126"/>
      <c r="V297" s="126"/>
      <c r="W297" s="126"/>
      <c r="X297" s="126"/>
      <c r="Y297" s="126"/>
      <c r="Z297" s="126"/>
      <c r="AA297" s="126"/>
      <c r="AB297" s="126"/>
      <c r="AC297" s="126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/>
      <c r="BB297" s="60"/>
      <c r="BC297" s="60"/>
      <c r="BD297" s="60"/>
      <c r="BE297" s="60"/>
      <c r="BF297" s="60"/>
      <c r="BG297" s="60"/>
      <c r="BH297" s="60"/>
      <c r="BI297" s="60"/>
      <c r="BJ297" s="60"/>
      <c r="BK297" s="60"/>
    </row>
    <row r="298" spans="1:63" x14ac:dyDescent="0.3">
      <c r="L298" s="88"/>
    </row>
    <row r="299" spans="1:63" x14ac:dyDescent="0.3">
      <c r="B299" s="65" t="s">
        <v>58</v>
      </c>
      <c r="F299" s="51">
        <v>3.7699999999999997E-2</v>
      </c>
      <c r="J299" s="51">
        <f>+Residential!$J$74</f>
        <v>3.7600000000000001E-2</v>
      </c>
    </row>
    <row r="301" spans="1:63" x14ac:dyDescent="0.3">
      <c r="L301" s="56"/>
      <c r="M301" s="56"/>
      <c r="N301" s="56"/>
      <c r="O301" s="56"/>
      <c r="P301" s="56"/>
    </row>
    <row r="302" spans="1:63" ht="16.2" x14ac:dyDescent="0.3">
      <c r="A302" s="121" t="s">
        <v>59</v>
      </c>
    </row>
    <row r="304" spans="1:63" x14ac:dyDescent="0.3">
      <c r="A304" s="60" t="s">
        <v>60</v>
      </c>
    </row>
    <row r="305" spans="1:2" x14ac:dyDescent="0.3">
      <c r="A305" s="60" t="s">
        <v>61</v>
      </c>
    </row>
    <row r="307" spans="1:2" x14ac:dyDescent="0.3">
      <c r="B307" s="60" t="s">
        <v>62</v>
      </c>
    </row>
  </sheetData>
  <mergeCells count="53">
    <mergeCell ref="B70:D70"/>
    <mergeCell ref="A3:K3"/>
    <mergeCell ref="B10:O10"/>
    <mergeCell ref="B11:O11"/>
    <mergeCell ref="D14:O14"/>
    <mergeCell ref="F20:H20"/>
    <mergeCell ref="J20:L20"/>
    <mergeCell ref="N20:O20"/>
    <mergeCell ref="D21:D22"/>
    <mergeCell ref="N21:N22"/>
    <mergeCell ref="O21:O22"/>
    <mergeCell ref="B64:D64"/>
    <mergeCell ref="B65:D65"/>
    <mergeCell ref="B145:D145"/>
    <mergeCell ref="B71:D71"/>
    <mergeCell ref="B85:O85"/>
    <mergeCell ref="B86:O86"/>
    <mergeCell ref="D89:O89"/>
    <mergeCell ref="F95:H95"/>
    <mergeCell ref="J95:L95"/>
    <mergeCell ref="N95:O95"/>
    <mergeCell ref="D96:D97"/>
    <mergeCell ref="N96:N97"/>
    <mergeCell ref="O96:O97"/>
    <mergeCell ref="B139:D139"/>
    <mergeCell ref="B140:D140"/>
    <mergeCell ref="B220:D220"/>
    <mergeCell ref="B146:D146"/>
    <mergeCell ref="B160:O160"/>
    <mergeCell ref="B161:O161"/>
    <mergeCell ref="D164:O164"/>
    <mergeCell ref="F170:H170"/>
    <mergeCell ref="J170:L170"/>
    <mergeCell ref="N170:O170"/>
    <mergeCell ref="D171:D172"/>
    <mergeCell ref="N171:N172"/>
    <mergeCell ref="O171:O172"/>
    <mergeCell ref="B214:D214"/>
    <mergeCell ref="B215:D215"/>
    <mergeCell ref="B221:D221"/>
    <mergeCell ref="B235:O235"/>
    <mergeCell ref="B236:O236"/>
    <mergeCell ref="D239:O239"/>
    <mergeCell ref="F245:H245"/>
    <mergeCell ref="J245:L245"/>
    <mergeCell ref="N245:O245"/>
    <mergeCell ref="B296:D296"/>
    <mergeCell ref="D246:D247"/>
    <mergeCell ref="N246:N247"/>
    <mergeCell ref="O246:O247"/>
    <mergeCell ref="B289:D289"/>
    <mergeCell ref="B290:D290"/>
    <mergeCell ref="B295:D295"/>
  </mergeCells>
  <dataValidations count="3">
    <dataValidation type="list" allowBlank="1" showInputMessage="1" showErrorMessage="1" prompt="Select Charge Unit - monthly, per kWh, per kW" sqref="D48:D49 D40:D46 D66 D23:D38 D72 D51:D60 D123:D124 D115:D121 D141 D98:D113 D147 D126:D135 D198:D199 D190:D196 D216 D173:D188 D222 D201:D210 D273:D274 D265:D271 D291 D248:D263 D297 D276:D285">
      <formula1>"Monthly, per kWh, per kW"</formula1>
    </dataValidation>
    <dataValidation type="list" allowBlank="1" showInputMessage="1" showErrorMessage="1" sqref="E72 E66 E48:E49 E40:E46 E23:E38 E51:E60 E147 E141 E123:E124 E115:E121 E98:E113 E126:E135 E222 E216 E198:E199 E190:E196 E173:E188 E201:E210 E297 E291 E273:E274 E265:E271 E248:E263 E276:E285">
      <formula1>#REF!</formula1>
    </dataValidation>
    <dataValidation type="list" allowBlank="1" showInputMessage="1" showErrorMessage="1" sqref="D16 D91 D166 D241">
      <formula1>"TOU, non-TOU"</formula1>
    </dataValidation>
  </dataValidations>
  <pageMargins left="0.7" right="0.7" top="0.75" bottom="0.75" header="0.3" footer="0.3"/>
  <pageSetup scale="48" fitToHeight="0" orientation="portrait" r:id="rId1"/>
  <rowBreaks count="3" manualBreakCount="3">
    <brk id="84" max="15" man="1"/>
    <brk id="159" max="15" man="1"/>
    <brk id="234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4" name="Option Button 5">
              <controlPr defaultSize="0" autoFill="0" autoLine="0" autoPict="0">
                <anchor moveWithCells="1">
                  <from>
                    <xdr:col>1</xdr:col>
                    <xdr:colOff>2880360</xdr:colOff>
                    <xdr:row>46</xdr:row>
                    <xdr:rowOff>38100</xdr:rowOff>
                  </from>
                  <to>
                    <xdr:col>2</xdr:col>
                    <xdr:colOff>68580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r:id="rId5" name="Option Button 75">
              <controlPr defaultSize="0" autoFill="0" autoLine="0" autoPict="0">
                <anchor moveWithCells="1">
                  <from>
                    <xdr:col>1</xdr:col>
                    <xdr:colOff>2270760</xdr:colOff>
                    <xdr:row>46</xdr:row>
                    <xdr:rowOff>30480</xdr:rowOff>
                  </from>
                  <to>
                    <xdr:col>1</xdr:col>
                    <xdr:colOff>2743200</xdr:colOff>
                    <xdr:row>46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r:id="rId6" name="Option Button 76">
              <controlPr defaultSize="0" autoFill="0" autoLine="0" autoPict="0">
                <anchor moveWithCells="1">
                  <from>
                    <xdr:col>5</xdr:col>
                    <xdr:colOff>601980</xdr:colOff>
                    <xdr:row>15</xdr:row>
                    <xdr:rowOff>0</xdr:rowOff>
                  </from>
                  <to>
                    <xdr:col>7</xdr:col>
                    <xdr:colOff>289560</xdr:colOff>
                    <xdr:row>16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r:id="rId7" name="Option Button 77">
              <controlPr defaultSize="0" autoFill="0" autoLine="0" autoPict="0">
                <anchor moveWithCells="1">
                  <from>
                    <xdr:col>7</xdr:col>
                    <xdr:colOff>350520</xdr:colOff>
                    <xdr:row>15</xdr:row>
                    <xdr:rowOff>0</xdr:rowOff>
                  </from>
                  <to>
                    <xdr:col>14</xdr:col>
                    <xdr:colOff>632460</xdr:colOff>
                    <xdr:row>16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K235"/>
  <sheetViews>
    <sheetView view="pageBreakPreview" topLeftCell="J15" zoomScale="90" zoomScaleNormal="80" zoomScaleSheetLayoutView="90" workbookViewId="0">
      <selection activeCell="J187" sqref="J187"/>
    </sheetView>
  </sheetViews>
  <sheetFormatPr defaultColWidth="9.109375" defaultRowHeight="14.4" x14ac:dyDescent="0.3"/>
  <cols>
    <col min="1" max="1" width="4.44140625" style="60" customWidth="1"/>
    <col min="2" max="2" width="54.5546875" style="60" customWidth="1"/>
    <col min="3" max="3" width="1.33203125" style="60" customWidth="1"/>
    <col min="4" max="4" width="11.33203125" style="60" customWidth="1"/>
    <col min="5" max="5" width="1.33203125" style="60" customWidth="1"/>
    <col min="6" max="6" width="12.33203125" style="60" customWidth="1"/>
    <col min="7" max="7" width="14.44140625" style="60" bestFit="1" customWidth="1"/>
    <col min="8" max="8" width="12.44140625" style="60" bestFit="1" customWidth="1"/>
    <col min="9" max="9" width="2.88671875" style="60" customWidth="1"/>
    <col min="10" max="10" width="12.109375" style="60" customWidth="1"/>
    <col min="11" max="11" width="15.33203125" style="60" customWidth="1"/>
    <col min="12" max="12" width="12.44140625" style="60" bestFit="1" customWidth="1"/>
    <col min="13" max="13" width="2.88671875" style="60" customWidth="1"/>
    <col min="14" max="14" width="12.6640625" style="60" bestFit="1" customWidth="1"/>
    <col min="15" max="15" width="13.6640625" style="60" customWidth="1"/>
    <col min="16" max="16" width="3.88671875" style="60" customWidth="1"/>
    <col min="17" max="19" width="9.109375" style="60"/>
    <col min="20" max="20" width="9.109375" style="60" customWidth="1"/>
    <col min="21" max="16384" width="9.109375" style="60"/>
  </cols>
  <sheetData>
    <row r="1" spans="1:20" s="53" customFormat="1" ht="9.6" hidden="1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N1" s="54" t="s">
        <v>0</v>
      </c>
      <c r="O1" s="55" t="s">
        <v>76</v>
      </c>
      <c r="P1" s="56"/>
      <c r="T1" s="53">
        <v>3</v>
      </c>
    </row>
    <row r="2" spans="1:20" s="53" customFormat="1" ht="9.6" hidden="1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N2" s="54" t="s">
        <v>1</v>
      </c>
      <c r="O2" s="2"/>
      <c r="P2" s="56"/>
    </row>
    <row r="3" spans="1:20" s="53" customFormat="1" ht="9.6" hidden="1" customHeigh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N3" s="54" t="s">
        <v>2</v>
      </c>
      <c r="O3" s="2"/>
      <c r="P3" s="56"/>
    </row>
    <row r="4" spans="1:20" s="53" customFormat="1" ht="9.6" hidden="1" customHeight="1" x14ac:dyDescent="0.3">
      <c r="A4" s="57"/>
      <c r="B4" s="57"/>
      <c r="C4" s="57"/>
      <c r="D4" s="57"/>
      <c r="E4" s="57"/>
      <c r="F4" s="57"/>
      <c r="G4" s="57"/>
      <c r="H4" s="57"/>
      <c r="I4" s="58"/>
      <c r="J4" s="58"/>
      <c r="K4" s="58"/>
      <c r="N4" s="54" t="s">
        <v>3</v>
      </c>
      <c r="O4" s="2"/>
      <c r="P4" s="56"/>
    </row>
    <row r="5" spans="1:20" s="53" customFormat="1" ht="9.6" hidden="1" customHeight="1" x14ac:dyDescent="0.3">
      <c r="C5" s="59"/>
      <c r="D5" s="59"/>
      <c r="E5" s="59"/>
      <c r="N5" s="54" t="s">
        <v>4</v>
      </c>
      <c r="O5" s="3"/>
      <c r="P5" s="56"/>
    </row>
    <row r="6" spans="1:20" s="53" customFormat="1" ht="9.6" hidden="1" customHeight="1" x14ac:dyDescent="0.3">
      <c r="N6" s="54"/>
      <c r="O6" s="1"/>
      <c r="P6" s="56"/>
    </row>
    <row r="7" spans="1:20" s="53" customFormat="1" hidden="1" x14ac:dyDescent="0.3">
      <c r="N7" s="54" t="s">
        <v>5</v>
      </c>
      <c r="O7" s="3"/>
      <c r="P7" s="56"/>
    </row>
    <row r="8" spans="1:20" s="53" customFormat="1" ht="15" hidden="1" customHeight="1" x14ac:dyDescent="0.3">
      <c r="N8" s="60"/>
      <c r="O8" s="56"/>
      <c r="P8" s="56"/>
    </row>
    <row r="9" spans="1:20" ht="7.5" customHeight="1" x14ac:dyDescent="0.3">
      <c r="L9" s="56"/>
      <c r="M9" s="56"/>
      <c r="N9" s="56"/>
      <c r="O9" s="56"/>
      <c r="P9" s="56"/>
    </row>
    <row r="10" spans="1:20" ht="18.75" customHeight="1" x14ac:dyDescent="0.3">
      <c r="B10" s="175" t="s">
        <v>6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56"/>
    </row>
    <row r="11" spans="1:20" ht="18.75" customHeight="1" x14ac:dyDescent="0.3">
      <c r="B11" s="175" t="s">
        <v>7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56"/>
    </row>
    <row r="12" spans="1:20" ht="7.5" customHeight="1" x14ac:dyDescent="0.3">
      <c r="L12" s="56"/>
      <c r="M12" s="56"/>
      <c r="N12" s="56"/>
      <c r="O12" s="56"/>
      <c r="P12" s="56"/>
    </row>
    <row r="13" spans="1:20" ht="7.5" customHeight="1" x14ac:dyDescent="0.3">
      <c r="L13" s="56"/>
      <c r="M13" s="56"/>
      <c r="N13" s="56"/>
      <c r="O13" s="56"/>
      <c r="P13" s="56"/>
    </row>
    <row r="14" spans="1:20" ht="15.6" x14ac:dyDescent="0.3">
      <c r="B14" s="61" t="s">
        <v>8</v>
      </c>
      <c r="D14" s="185" t="s">
        <v>69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</row>
    <row r="15" spans="1:20" ht="7.5" customHeight="1" x14ac:dyDescent="0.3">
      <c r="B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20" ht="15.6" x14ac:dyDescent="0.3">
      <c r="B16" s="61" t="s">
        <v>9</v>
      </c>
      <c r="D16" s="5" t="s">
        <v>63</v>
      </c>
      <c r="E16" s="63"/>
      <c r="F16" s="63"/>
      <c r="H16" s="63"/>
      <c r="I16" s="63"/>
      <c r="J16" s="63"/>
      <c r="K16" s="63"/>
      <c r="L16" s="63"/>
      <c r="M16" s="63"/>
      <c r="N16" s="63"/>
      <c r="O16" s="63"/>
    </row>
    <row r="17" spans="2:29" ht="15.6" x14ac:dyDescent="0.3">
      <c r="B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2:29" x14ac:dyDescent="0.3">
      <c r="B18" s="64"/>
      <c r="D18" s="65" t="s">
        <v>11</v>
      </c>
      <c r="E18" s="65"/>
      <c r="F18" s="6">
        <v>1200</v>
      </c>
      <c r="G18" s="65" t="s">
        <v>64</v>
      </c>
    </row>
    <row r="19" spans="2:29" x14ac:dyDescent="0.3">
      <c r="B19" s="64"/>
      <c r="F19" s="6">
        <v>600000</v>
      </c>
      <c r="G19" s="65" t="s">
        <v>12</v>
      </c>
    </row>
    <row r="20" spans="2:29" x14ac:dyDescent="0.3">
      <c r="B20" s="64"/>
      <c r="D20" s="66"/>
      <c r="E20" s="66"/>
      <c r="F20" s="176" t="s">
        <v>13</v>
      </c>
      <c r="G20" s="177"/>
      <c r="H20" s="178"/>
      <c r="J20" s="176" t="s">
        <v>14</v>
      </c>
      <c r="K20" s="177"/>
      <c r="L20" s="178"/>
      <c r="N20" s="176" t="s">
        <v>15</v>
      </c>
      <c r="O20" s="178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</row>
    <row r="21" spans="2:29" x14ac:dyDescent="0.3">
      <c r="B21" s="64"/>
      <c r="D21" s="179" t="s">
        <v>16</v>
      </c>
      <c r="E21" s="67"/>
      <c r="F21" s="68" t="s">
        <v>17</v>
      </c>
      <c r="G21" s="68" t="s">
        <v>18</v>
      </c>
      <c r="H21" s="69" t="s">
        <v>19</v>
      </c>
      <c r="J21" s="68" t="s">
        <v>17</v>
      </c>
      <c r="K21" s="70" t="s">
        <v>18</v>
      </c>
      <c r="L21" s="69" t="s">
        <v>19</v>
      </c>
      <c r="N21" s="181" t="s">
        <v>20</v>
      </c>
      <c r="O21" s="183" t="s">
        <v>21</v>
      </c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</row>
    <row r="22" spans="2:29" x14ac:dyDescent="0.3">
      <c r="B22" s="64"/>
      <c r="D22" s="180"/>
      <c r="E22" s="67"/>
      <c r="F22" s="71" t="s">
        <v>22</v>
      </c>
      <c r="G22" s="71"/>
      <c r="H22" s="72" t="s">
        <v>22</v>
      </c>
      <c r="J22" s="71" t="s">
        <v>22</v>
      </c>
      <c r="K22" s="72"/>
      <c r="L22" s="72" t="s">
        <v>22</v>
      </c>
      <c r="N22" s="182"/>
      <c r="O22" s="184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</row>
    <row r="23" spans="2:29" x14ac:dyDescent="0.3">
      <c r="B23" s="73" t="s">
        <v>23</v>
      </c>
      <c r="C23" s="73"/>
      <c r="D23" s="7" t="s">
        <v>24</v>
      </c>
      <c r="E23" s="73"/>
      <c r="F23" s="129">
        <v>3399.83</v>
      </c>
      <c r="G23" s="74">
        <v>1</v>
      </c>
      <c r="H23" s="75">
        <f t="shared" ref="H23:H38" si="0">G23*F23</f>
        <v>3399.83</v>
      </c>
      <c r="I23" s="76"/>
      <c r="J23" s="129">
        <v>3399.83</v>
      </c>
      <c r="K23" s="77">
        <v>1</v>
      </c>
      <c r="L23" s="75">
        <f t="shared" ref="L23:L38" si="1">K23*J23</f>
        <v>3399.83</v>
      </c>
      <c r="M23" s="76"/>
      <c r="N23" s="78">
        <f t="shared" ref="N23:N59" si="2">L23-H23</f>
        <v>0</v>
      </c>
      <c r="O23" s="79">
        <f t="shared" ref="O23:O45" si="3">IF((H23)=0,"",(N23/H23))</f>
        <v>0</v>
      </c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</row>
    <row r="24" spans="2:29" x14ac:dyDescent="0.3">
      <c r="B24" s="73" t="s">
        <v>25</v>
      </c>
      <c r="C24" s="73"/>
      <c r="D24" s="7" t="s">
        <v>24</v>
      </c>
      <c r="E24" s="73"/>
      <c r="F24" s="133"/>
      <c r="G24" s="74">
        <v>1</v>
      </c>
      <c r="H24" s="136">
        <f t="shared" si="0"/>
        <v>0</v>
      </c>
      <c r="I24" s="76"/>
      <c r="J24" s="130"/>
      <c r="K24" s="77">
        <v>1</v>
      </c>
      <c r="L24" s="136">
        <f t="shared" si="1"/>
        <v>0</v>
      </c>
      <c r="M24" s="76"/>
      <c r="N24" s="137">
        <f t="shared" si="2"/>
        <v>0</v>
      </c>
      <c r="O24" s="79" t="str">
        <f t="shared" si="3"/>
        <v/>
      </c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</row>
    <row r="25" spans="2:29" x14ac:dyDescent="0.3">
      <c r="B25" s="9"/>
      <c r="C25" s="73"/>
      <c r="D25" s="7"/>
      <c r="E25" s="73"/>
      <c r="F25" s="134"/>
      <c r="G25" s="74">
        <v>1</v>
      </c>
      <c r="H25" s="136">
        <f t="shared" si="0"/>
        <v>0</v>
      </c>
      <c r="I25" s="76"/>
      <c r="J25" s="131"/>
      <c r="K25" s="77">
        <v>1</v>
      </c>
      <c r="L25" s="136">
        <f t="shared" si="1"/>
        <v>0</v>
      </c>
      <c r="M25" s="76"/>
      <c r="N25" s="137">
        <f t="shared" si="2"/>
        <v>0</v>
      </c>
      <c r="O25" s="79" t="str">
        <f t="shared" si="3"/>
        <v/>
      </c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</row>
    <row r="26" spans="2:29" x14ac:dyDescent="0.3">
      <c r="B26" s="9"/>
      <c r="C26" s="73"/>
      <c r="D26" s="7"/>
      <c r="E26" s="73"/>
      <c r="F26" s="134"/>
      <c r="G26" s="74">
        <v>1</v>
      </c>
      <c r="H26" s="136">
        <f t="shared" si="0"/>
        <v>0</v>
      </c>
      <c r="I26" s="76"/>
      <c r="J26" s="131"/>
      <c r="K26" s="77">
        <v>1</v>
      </c>
      <c r="L26" s="136">
        <f t="shared" si="1"/>
        <v>0</v>
      </c>
      <c r="M26" s="76"/>
      <c r="N26" s="137">
        <f t="shared" si="2"/>
        <v>0</v>
      </c>
      <c r="O26" s="79" t="str">
        <f t="shared" si="3"/>
        <v/>
      </c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</row>
    <row r="27" spans="2:29" x14ac:dyDescent="0.3">
      <c r="B27" s="10"/>
      <c r="C27" s="73"/>
      <c r="D27" s="7"/>
      <c r="E27" s="73"/>
      <c r="F27" s="134"/>
      <c r="G27" s="74">
        <v>1</v>
      </c>
      <c r="H27" s="136">
        <f t="shared" si="0"/>
        <v>0</v>
      </c>
      <c r="I27" s="76"/>
      <c r="J27" s="131"/>
      <c r="K27" s="77">
        <v>1</v>
      </c>
      <c r="L27" s="136">
        <f t="shared" si="1"/>
        <v>0</v>
      </c>
      <c r="M27" s="76"/>
      <c r="N27" s="137">
        <f t="shared" si="2"/>
        <v>0</v>
      </c>
      <c r="O27" s="79" t="str">
        <f t="shared" si="3"/>
        <v/>
      </c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</row>
    <row r="28" spans="2:29" x14ac:dyDescent="0.3">
      <c r="B28" s="10"/>
      <c r="C28" s="73"/>
      <c r="D28" s="7"/>
      <c r="E28" s="73"/>
      <c r="F28" s="134"/>
      <c r="G28" s="74">
        <v>1</v>
      </c>
      <c r="H28" s="136">
        <f t="shared" si="0"/>
        <v>0</v>
      </c>
      <c r="I28" s="76"/>
      <c r="J28" s="131"/>
      <c r="K28" s="77">
        <v>1</v>
      </c>
      <c r="L28" s="136">
        <f t="shared" si="1"/>
        <v>0</v>
      </c>
      <c r="M28" s="76"/>
      <c r="N28" s="137">
        <f t="shared" si="2"/>
        <v>0</v>
      </c>
      <c r="O28" s="79" t="str">
        <f t="shared" si="3"/>
        <v/>
      </c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</row>
    <row r="29" spans="2:29" x14ac:dyDescent="0.3">
      <c r="B29" s="73" t="s">
        <v>26</v>
      </c>
      <c r="C29" s="73"/>
      <c r="D29" s="7" t="s">
        <v>67</v>
      </c>
      <c r="E29" s="73"/>
      <c r="F29" s="135">
        <v>1.8569</v>
      </c>
      <c r="G29" s="74">
        <f>$F18</f>
        <v>1200</v>
      </c>
      <c r="H29" s="136">
        <f t="shared" si="0"/>
        <v>2228.2800000000002</v>
      </c>
      <c r="I29" s="76"/>
      <c r="J29" s="132">
        <v>2.6884000000000001</v>
      </c>
      <c r="K29" s="74">
        <f>$F18</f>
        <v>1200</v>
      </c>
      <c r="L29" s="136">
        <f t="shared" si="1"/>
        <v>3226.08</v>
      </c>
      <c r="M29" s="76"/>
      <c r="N29" s="137">
        <f t="shared" si="2"/>
        <v>997.79999999999973</v>
      </c>
      <c r="O29" s="79">
        <f t="shared" si="3"/>
        <v>0.44778932629651552</v>
      </c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</row>
    <row r="30" spans="2:29" x14ac:dyDescent="0.3">
      <c r="B30" s="73" t="s">
        <v>28</v>
      </c>
      <c r="C30" s="73"/>
      <c r="D30" s="7" t="s">
        <v>24</v>
      </c>
      <c r="E30" s="73"/>
      <c r="F30" s="135"/>
      <c r="G30" s="74">
        <v>1</v>
      </c>
      <c r="H30" s="136">
        <f t="shared" si="0"/>
        <v>0</v>
      </c>
      <c r="I30" s="76"/>
      <c r="J30" s="132"/>
      <c r="K30" s="74">
        <v>1</v>
      </c>
      <c r="L30" s="136">
        <f t="shared" si="1"/>
        <v>0</v>
      </c>
      <c r="M30" s="76"/>
      <c r="N30" s="137">
        <f t="shared" si="2"/>
        <v>0</v>
      </c>
      <c r="O30" s="79" t="str">
        <f t="shared" si="3"/>
        <v/>
      </c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</row>
    <row r="31" spans="2:29" x14ac:dyDescent="0.3">
      <c r="B31" s="73" t="s">
        <v>29</v>
      </c>
      <c r="C31" s="73"/>
      <c r="D31" s="7" t="s">
        <v>67</v>
      </c>
      <c r="E31" s="73"/>
      <c r="F31" s="135">
        <v>-1.4E-3</v>
      </c>
      <c r="G31" s="74">
        <f>$F18</f>
        <v>1200</v>
      </c>
      <c r="H31" s="136">
        <f>G31*F31</f>
        <v>-1.68</v>
      </c>
      <c r="I31" s="76"/>
      <c r="J31" s="171">
        <v>0</v>
      </c>
      <c r="K31" s="74">
        <f>$F18</f>
        <v>1200</v>
      </c>
      <c r="L31" s="136">
        <f t="shared" si="1"/>
        <v>0</v>
      </c>
      <c r="M31" s="76"/>
      <c r="N31" s="137">
        <f t="shared" si="2"/>
        <v>1.68</v>
      </c>
      <c r="O31" s="79">
        <f t="shared" si="3"/>
        <v>-1</v>
      </c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</row>
    <row r="32" spans="2:29" x14ac:dyDescent="0.3">
      <c r="B32" s="11" t="s">
        <v>30</v>
      </c>
      <c r="C32" s="73"/>
      <c r="D32" s="7" t="s">
        <v>67</v>
      </c>
      <c r="E32" s="73"/>
      <c r="F32" s="135">
        <v>0.22309999999999999</v>
      </c>
      <c r="G32" s="74">
        <f>$F18</f>
        <v>1200</v>
      </c>
      <c r="H32" s="136">
        <f t="shared" si="0"/>
        <v>267.71999999999997</v>
      </c>
      <c r="I32" s="76"/>
      <c r="J32" s="132"/>
      <c r="K32" s="74">
        <f>$F18</f>
        <v>1200</v>
      </c>
      <c r="L32" s="136">
        <f t="shared" si="1"/>
        <v>0</v>
      </c>
      <c r="M32" s="76"/>
      <c r="N32" s="137">
        <f t="shared" si="2"/>
        <v>-267.71999999999997</v>
      </c>
      <c r="O32" s="79">
        <f t="shared" si="3"/>
        <v>-1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</row>
    <row r="33" spans="1:63" x14ac:dyDescent="0.3">
      <c r="B33" s="11" t="s">
        <v>31</v>
      </c>
      <c r="C33" s="73"/>
      <c r="D33" s="7" t="s">
        <v>67</v>
      </c>
      <c r="E33" s="73"/>
      <c r="F33" s="135">
        <v>-4.0500000000000001E-2</v>
      </c>
      <c r="G33" s="74">
        <f>$F18</f>
        <v>1200</v>
      </c>
      <c r="H33" s="136">
        <f t="shared" si="0"/>
        <v>-48.6</v>
      </c>
      <c r="I33" s="76"/>
      <c r="J33" s="132"/>
      <c r="K33" s="74">
        <f>$F18</f>
        <v>1200</v>
      </c>
      <c r="L33" s="136">
        <f t="shared" si="1"/>
        <v>0</v>
      </c>
      <c r="M33" s="76"/>
      <c r="N33" s="137">
        <f t="shared" si="2"/>
        <v>48.6</v>
      </c>
      <c r="O33" s="79">
        <f t="shared" si="3"/>
        <v>-1</v>
      </c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</row>
    <row r="34" spans="1:63" x14ac:dyDescent="0.3">
      <c r="B34" s="11" t="s">
        <v>70</v>
      </c>
      <c r="C34" s="73"/>
      <c r="D34" s="7" t="s">
        <v>67</v>
      </c>
      <c r="E34" s="73"/>
      <c r="F34" s="135">
        <v>1.3157000000000001</v>
      </c>
      <c r="G34" s="74">
        <f>$F18</f>
        <v>1200</v>
      </c>
      <c r="H34" s="136">
        <f t="shared" si="0"/>
        <v>1578.8400000000001</v>
      </c>
      <c r="I34" s="76"/>
      <c r="J34" s="132">
        <v>-0.71440000000000003</v>
      </c>
      <c r="K34" s="74">
        <f>$F18</f>
        <v>1200</v>
      </c>
      <c r="L34" s="136">
        <f t="shared" si="1"/>
        <v>-857.28000000000009</v>
      </c>
      <c r="M34" s="76"/>
      <c r="N34" s="137">
        <f t="shared" si="2"/>
        <v>-2436.1200000000003</v>
      </c>
      <c r="O34" s="79">
        <f t="shared" si="3"/>
        <v>-1.5429809227027438</v>
      </c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</row>
    <row r="35" spans="1:63" x14ac:dyDescent="0.3">
      <c r="B35" s="12" t="str">
        <f>+Residential!$B$35</f>
        <v>Rate Rider for Disposition of Account 1576</v>
      </c>
      <c r="C35" s="73"/>
      <c r="D35" s="7" t="s">
        <v>67</v>
      </c>
      <c r="E35" s="73"/>
      <c r="F35" s="134"/>
      <c r="G35" s="74">
        <f>$F18</f>
        <v>1200</v>
      </c>
      <c r="H35" s="136">
        <f t="shared" si="0"/>
        <v>0</v>
      </c>
      <c r="I35" s="76"/>
      <c r="J35" s="132">
        <v>-0.25790000000000002</v>
      </c>
      <c r="K35" s="74">
        <f>$F18</f>
        <v>1200</v>
      </c>
      <c r="L35" s="136">
        <f t="shared" si="1"/>
        <v>-309.48</v>
      </c>
      <c r="M35" s="76"/>
      <c r="N35" s="137">
        <f t="shared" si="2"/>
        <v>-309.48</v>
      </c>
      <c r="O35" s="79" t="str">
        <f t="shared" si="3"/>
        <v/>
      </c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</row>
    <row r="36" spans="1:63" x14ac:dyDescent="0.3">
      <c r="B36" s="12" t="str">
        <f>+Residential!$B$36</f>
        <v xml:space="preserve">Rate Rider for Disposition of CGAAP CWIP differential </v>
      </c>
      <c r="C36" s="73"/>
      <c r="D36" s="7" t="s">
        <v>67</v>
      </c>
      <c r="E36" s="73"/>
      <c r="F36" s="134"/>
      <c r="G36" s="74">
        <f>$F18</f>
        <v>1200</v>
      </c>
      <c r="H36" s="136">
        <f t="shared" si="0"/>
        <v>0</v>
      </c>
      <c r="I36" s="76"/>
      <c r="J36" s="132">
        <v>0.13930000000000001</v>
      </c>
      <c r="K36" s="74">
        <f>$F18</f>
        <v>1200</v>
      </c>
      <c r="L36" s="136">
        <f t="shared" si="1"/>
        <v>167.16</v>
      </c>
      <c r="M36" s="76"/>
      <c r="N36" s="137">
        <f t="shared" si="2"/>
        <v>167.16</v>
      </c>
      <c r="O36" s="79" t="str">
        <f t="shared" si="3"/>
        <v/>
      </c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</row>
    <row r="37" spans="1:63" x14ac:dyDescent="0.3">
      <c r="B37" s="12" t="str">
        <f>+Residential!$B$37</f>
        <v xml:space="preserve">Rate Rider for Disposition of Incremental Capital Expenditures </v>
      </c>
      <c r="C37" s="73"/>
      <c r="D37" s="7" t="s">
        <v>67</v>
      </c>
      <c r="E37" s="73"/>
      <c r="F37" s="131"/>
      <c r="G37" s="74">
        <f>$F18</f>
        <v>1200</v>
      </c>
      <c r="H37" s="136">
        <f t="shared" si="0"/>
        <v>0</v>
      </c>
      <c r="I37" s="76"/>
      <c r="J37" s="132">
        <v>8.3599999999999994E-2</v>
      </c>
      <c r="K37" s="74">
        <f>$F18</f>
        <v>1200</v>
      </c>
      <c r="L37" s="136">
        <f t="shared" si="1"/>
        <v>100.32</v>
      </c>
      <c r="M37" s="76"/>
      <c r="N37" s="137">
        <f t="shared" si="2"/>
        <v>100.32</v>
      </c>
      <c r="O37" s="79" t="str">
        <f t="shared" si="3"/>
        <v/>
      </c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</row>
    <row r="38" spans="1:63" x14ac:dyDescent="0.3">
      <c r="B38" s="12"/>
      <c r="C38" s="73"/>
      <c r="D38" s="7"/>
      <c r="E38" s="73"/>
      <c r="F38" s="131"/>
      <c r="G38" s="74">
        <f>$F18</f>
        <v>1200</v>
      </c>
      <c r="H38" s="136">
        <f t="shared" si="0"/>
        <v>0</v>
      </c>
      <c r="I38" s="76"/>
      <c r="J38" s="131"/>
      <c r="K38" s="74">
        <f>$F18</f>
        <v>1200</v>
      </c>
      <c r="L38" s="136">
        <f t="shared" si="1"/>
        <v>0</v>
      </c>
      <c r="M38" s="76"/>
      <c r="N38" s="137">
        <f t="shared" si="2"/>
        <v>0</v>
      </c>
      <c r="O38" s="79" t="str">
        <f t="shared" si="3"/>
        <v/>
      </c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</row>
    <row r="39" spans="1:63" s="4" customFormat="1" x14ac:dyDescent="0.3">
      <c r="A39" s="60"/>
      <c r="B39" s="19" t="s">
        <v>33</v>
      </c>
      <c r="C39" s="20"/>
      <c r="D39" s="20"/>
      <c r="E39" s="20"/>
      <c r="F39" s="21"/>
      <c r="G39" s="22"/>
      <c r="H39" s="23">
        <f>SUM(H23:H38)</f>
        <v>7424.39</v>
      </c>
      <c r="I39" s="13"/>
      <c r="J39" s="14"/>
      <c r="K39" s="24"/>
      <c r="L39" s="23">
        <f>SUM(L23:L38)</f>
        <v>5726.6299999999992</v>
      </c>
      <c r="M39" s="13"/>
      <c r="N39" s="15">
        <f t="shared" si="2"/>
        <v>-1697.7600000000011</v>
      </c>
      <c r="O39" s="16">
        <f t="shared" si="3"/>
        <v>-0.22867333208519502</v>
      </c>
      <c r="P39" s="60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</row>
    <row r="40" spans="1:63" x14ac:dyDescent="0.3">
      <c r="B40" s="17" t="s">
        <v>34</v>
      </c>
      <c r="C40" s="73"/>
      <c r="D40" s="7" t="s">
        <v>67</v>
      </c>
      <c r="E40" s="73"/>
      <c r="F40" s="135">
        <v>0.1113</v>
      </c>
      <c r="G40" s="74">
        <f>$F18</f>
        <v>1200</v>
      </c>
      <c r="H40" s="136">
        <f t="shared" ref="H40:H46" si="4">G40*F40</f>
        <v>133.56</v>
      </c>
      <c r="I40" s="76"/>
      <c r="J40" s="132">
        <v>-0.73419999999999996</v>
      </c>
      <c r="K40" s="74">
        <f>$F18</f>
        <v>1200</v>
      </c>
      <c r="L40" s="136">
        <f t="shared" ref="L40:L46" si="5">K40*J40</f>
        <v>-881.04</v>
      </c>
      <c r="M40" s="76"/>
      <c r="N40" s="137">
        <f t="shared" si="2"/>
        <v>-1014.5999999999999</v>
      </c>
      <c r="O40" s="79">
        <f t="shared" si="3"/>
        <v>-7.5965858041329728</v>
      </c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</row>
    <row r="41" spans="1:63" x14ac:dyDescent="0.3">
      <c r="B41" s="17"/>
      <c r="C41" s="73"/>
      <c r="D41" s="7"/>
      <c r="E41" s="73"/>
      <c r="F41" s="8"/>
      <c r="G41" s="74">
        <f>$F18</f>
        <v>1200</v>
      </c>
      <c r="H41" s="136">
        <f t="shared" si="4"/>
        <v>0</v>
      </c>
      <c r="I41" s="82"/>
      <c r="J41" s="8"/>
      <c r="K41" s="74">
        <f>$F18</f>
        <v>1200</v>
      </c>
      <c r="L41" s="136">
        <f t="shared" si="5"/>
        <v>0</v>
      </c>
      <c r="M41" s="83"/>
      <c r="N41" s="137">
        <f t="shared" si="2"/>
        <v>0</v>
      </c>
      <c r="O41" s="79" t="str">
        <f t="shared" si="3"/>
        <v/>
      </c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</row>
    <row r="42" spans="1:63" x14ac:dyDescent="0.3">
      <c r="B42" s="17"/>
      <c r="C42" s="73"/>
      <c r="D42" s="7"/>
      <c r="E42" s="73"/>
      <c r="F42" s="8"/>
      <c r="G42" s="74">
        <f>$F18</f>
        <v>1200</v>
      </c>
      <c r="H42" s="136">
        <f t="shared" si="4"/>
        <v>0</v>
      </c>
      <c r="I42" s="82"/>
      <c r="J42" s="8"/>
      <c r="K42" s="74">
        <f>$F18</f>
        <v>1200</v>
      </c>
      <c r="L42" s="136">
        <f t="shared" si="5"/>
        <v>0</v>
      </c>
      <c r="M42" s="83"/>
      <c r="N42" s="137">
        <f t="shared" si="2"/>
        <v>0</v>
      </c>
      <c r="O42" s="79" t="str">
        <f t="shared" si="3"/>
        <v/>
      </c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</row>
    <row r="43" spans="1:63" x14ac:dyDescent="0.3">
      <c r="B43" s="17"/>
      <c r="C43" s="73"/>
      <c r="D43" s="7"/>
      <c r="E43" s="73"/>
      <c r="F43" s="8"/>
      <c r="G43" s="74">
        <f>$F18</f>
        <v>1200</v>
      </c>
      <c r="H43" s="136">
        <f t="shared" si="4"/>
        <v>0</v>
      </c>
      <c r="I43" s="82"/>
      <c r="J43" s="8"/>
      <c r="K43" s="74">
        <f>$F18</f>
        <v>1200</v>
      </c>
      <c r="L43" s="136">
        <f t="shared" si="5"/>
        <v>0</v>
      </c>
      <c r="M43" s="83"/>
      <c r="N43" s="137">
        <f t="shared" si="2"/>
        <v>0</v>
      </c>
      <c r="O43" s="79" t="str">
        <f t="shared" si="3"/>
        <v/>
      </c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</row>
    <row r="44" spans="1:63" x14ac:dyDescent="0.3">
      <c r="B44" s="80" t="s">
        <v>35</v>
      </c>
      <c r="C44" s="73"/>
      <c r="D44" s="7" t="s">
        <v>67</v>
      </c>
      <c r="E44" s="73"/>
      <c r="F44" s="135">
        <v>6.3799999999999996E-2</v>
      </c>
      <c r="G44" s="74">
        <f>$F18</f>
        <v>1200</v>
      </c>
      <c r="H44" s="136">
        <f t="shared" si="4"/>
        <v>76.559999999999988</v>
      </c>
      <c r="I44" s="76"/>
      <c r="J44" s="132">
        <v>0.1313</v>
      </c>
      <c r="K44" s="74">
        <f>$F18</f>
        <v>1200</v>
      </c>
      <c r="L44" s="136">
        <f t="shared" si="5"/>
        <v>157.56</v>
      </c>
      <c r="M44" s="76"/>
      <c r="N44" s="137">
        <f t="shared" si="2"/>
        <v>81.000000000000014</v>
      </c>
      <c r="O44" s="79">
        <f t="shared" si="3"/>
        <v>1.0579937304075238</v>
      </c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</row>
    <row r="45" spans="1:63" x14ac:dyDescent="0.3">
      <c r="B45" s="80" t="s">
        <v>36</v>
      </c>
      <c r="C45" s="73"/>
      <c r="D45" s="7" t="s">
        <v>27</v>
      </c>
      <c r="E45" s="73"/>
      <c r="F45" s="138"/>
      <c r="G45" s="18">
        <f>$F19*(1+$F74)-$F19</f>
        <v>22620</v>
      </c>
      <c r="H45" s="136">
        <f t="shared" si="4"/>
        <v>0</v>
      </c>
      <c r="I45" s="76"/>
      <c r="J45" s="138">
        <f>+F45</f>
        <v>0</v>
      </c>
      <c r="K45" s="18">
        <f>$F19*(1+$J74)-$F19</f>
        <v>22560</v>
      </c>
      <c r="L45" s="136">
        <f t="shared" si="5"/>
        <v>0</v>
      </c>
      <c r="M45" s="76"/>
      <c r="N45" s="137">
        <f t="shared" si="2"/>
        <v>0</v>
      </c>
      <c r="O45" s="79" t="str">
        <f t="shared" si="3"/>
        <v/>
      </c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</row>
    <row r="46" spans="1:63" x14ac:dyDescent="0.3">
      <c r="B46" s="80" t="s">
        <v>37</v>
      </c>
      <c r="C46" s="73"/>
      <c r="D46" s="7" t="s">
        <v>24</v>
      </c>
      <c r="E46" s="73"/>
      <c r="F46" s="138">
        <v>0</v>
      </c>
      <c r="G46" s="74">
        <v>1</v>
      </c>
      <c r="H46" s="136">
        <f t="shared" si="4"/>
        <v>0</v>
      </c>
      <c r="I46" s="76"/>
      <c r="J46" s="138"/>
      <c r="K46" s="81">
        <v>1</v>
      </c>
      <c r="L46" s="136">
        <f t="shared" si="5"/>
        <v>0</v>
      </c>
      <c r="M46" s="76"/>
      <c r="N46" s="137">
        <f t="shared" si="2"/>
        <v>0</v>
      </c>
      <c r="O46" s="79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</row>
    <row r="47" spans="1:63" s="4" customFormat="1" x14ac:dyDescent="0.3">
      <c r="A47" s="60"/>
      <c r="B47" s="19" t="s">
        <v>38</v>
      </c>
      <c r="C47" s="20"/>
      <c r="D47" s="20"/>
      <c r="E47" s="20"/>
      <c r="F47" s="21"/>
      <c r="G47" s="22"/>
      <c r="H47" s="23">
        <f>SUM(H40:H46)+H39</f>
        <v>7634.51</v>
      </c>
      <c r="I47" s="13"/>
      <c r="J47" s="22"/>
      <c r="K47" s="24"/>
      <c r="L47" s="23">
        <f>SUM(L40:L46)+L39</f>
        <v>5003.1499999999996</v>
      </c>
      <c r="M47" s="13"/>
      <c r="N47" s="15">
        <f t="shared" si="2"/>
        <v>-2631.3600000000006</v>
      </c>
      <c r="O47" s="16">
        <f t="shared" ref="O47:O59" si="6">IF((H47)=0,"",(N47/H47))</f>
        <v>-0.34466652083761767</v>
      </c>
      <c r="P47" s="60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</row>
    <row r="48" spans="1:63" x14ac:dyDescent="0.3">
      <c r="B48" s="76" t="s">
        <v>39</v>
      </c>
      <c r="C48" s="76"/>
      <c r="D48" s="25" t="s">
        <v>67</v>
      </c>
      <c r="E48" s="76"/>
      <c r="F48" s="135">
        <v>2.8561000000000001</v>
      </c>
      <c r="G48" s="18">
        <f>F18*(1+F74)</f>
        <v>1245.24</v>
      </c>
      <c r="H48" s="136">
        <f>G48*F48</f>
        <v>3556.5299640000003</v>
      </c>
      <c r="I48" s="76"/>
      <c r="J48" s="135">
        <v>2.8328000000000002</v>
      </c>
      <c r="K48" s="18">
        <f>F18*(1+J74)</f>
        <v>1245.1200000000001</v>
      </c>
      <c r="L48" s="136">
        <f>K48*J48</f>
        <v>3527.1759360000005</v>
      </c>
      <c r="M48" s="76"/>
      <c r="N48" s="136">
        <f t="shared" si="2"/>
        <v>-29.354027999999744</v>
      </c>
      <c r="O48" s="79">
        <f t="shared" si="6"/>
        <v>-8.2535584676996527E-3</v>
      </c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</row>
    <row r="49" spans="1:63" x14ac:dyDescent="0.3">
      <c r="B49" s="85" t="s">
        <v>40</v>
      </c>
      <c r="C49" s="76"/>
      <c r="D49" s="25" t="s">
        <v>67</v>
      </c>
      <c r="E49" s="76"/>
      <c r="F49" s="135">
        <v>1.9374</v>
      </c>
      <c r="G49" s="18">
        <f>G48</f>
        <v>1245.24</v>
      </c>
      <c r="H49" s="136">
        <f>G49*F49</f>
        <v>2412.5279759999999</v>
      </c>
      <c r="I49" s="76"/>
      <c r="J49" s="135">
        <v>1.8771</v>
      </c>
      <c r="K49" s="18">
        <f>K48</f>
        <v>1245.1200000000001</v>
      </c>
      <c r="L49" s="136">
        <f>K49*J49</f>
        <v>2337.2147520000003</v>
      </c>
      <c r="M49" s="76"/>
      <c r="N49" s="136">
        <f t="shared" si="2"/>
        <v>-75.313223999999536</v>
      </c>
      <c r="O49" s="79">
        <f t="shared" si="6"/>
        <v>-3.1217554676762654E-2</v>
      </c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</row>
    <row r="50" spans="1:63" s="4" customFormat="1" x14ac:dyDescent="0.3">
      <c r="A50" s="60"/>
      <c r="B50" s="19" t="s">
        <v>41</v>
      </c>
      <c r="C50" s="20"/>
      <c r="D50" s="20"/>
      <c r="E50" s="20"/>
      <c r="F50" s="21"/>
      <c r="G50" s="22"/>
      <c r="H50" s="23">
        <f>SUM(H47:H49)</f>
        <v>13603.567939999999</v>
      </c>
      <c r="I50" s="13"/>
      <c r="J50" s="26"/>
      <c r="K50" s="22"/>
      <c r="L50" s="23">
        <f>SUM(L47:L49)</f>
        <v>10867.540688000001</v>
      </c>
      <c r="M50" s="13"/>
      <c r="N50" s="15">
        <f t="shared" si="2"/>
        <v>-2736.027251999998</v>
      </c>
      <c r="O50" s="16">
        <f t="shared" si="6"/>
        <v>-0.20112570937768245</v>
      </c>
      <c r="P50" s="60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</row>
    <row r="51" spans="1:63" x14ac:dyDescent="0.3">
      <c r="B51" s="86" t="s">
        <v>42</v>
      </c>
      <c r="C51" s="73"/>
      <c r="D51" s="7" t="s">
        <v>27</v>
      </c>
      <c r="E51" s="73"/>
      <c r="F51" s="135">
        <v>4.4000000000000003E-3</v>
      </c>
      <c r="G51" s="18">
        <f>F19*(1+F74)</f>
        <v>622620</v>
      </c>
      <c r="H51" s="139">
        <f t="shared" ref="H51:H59" si="7">G51*F51</f>
        <v>2739.5280000000002</v>
      </c>
      <c r="I51" s="76"/>
      <c r="J51" s="135">
        <f>+F51</f>
        <v>4.4000000000000003E-3</v>
      </c>
      <c r="K51" s="18">
        <f>F19*(1+J74)</f>
        <v>622560</v>
      </c>
      <c r="L51" s="139">
        <f t="shared" ref="L51:L59" si="8">K51*J51</f>
        <v>2739.2640000000001</v>
      </c>
      <c r="M51" s="76"/>
      <c r="N51" s="137">
        <f t="shared" si="2"/>
        <v>-0.26400000000012369</v>
      </c>
      <c r="O51" s="87">
        <f t="shared" si="6"/>
        <v>-9.6366965404304559E-5</v>
      </c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</row>
    <row r="52" spans="1:63" x14ac:dyDescent="0.3">
      <c r="B52" s="86" t="s">
        <v>43</v>
      </c>
      <c r="C52" s="73"/>
      <c r="D52" s="7" t="s">
        <v>27</v>
      </c>
      <c r="E52" s="73"/>
      <c r="F52" s="135">
        <v>1.1999999999999999E-3</v>
      </c>
      <c r="G52" s="18">
        <f>+G51</f>
        <v>622620</v>
      </c>
      <c r="H52" s="139">
        <f t="shared" si="7"/>
        <v>747.14399999999989</v>
      </c>
      <c r="I52" s="76"/>
      <c r="J52" s="135">
        <v>1.2999999999999999E-3</v>
      </c>
      <c r="K52" s="18">
        <f>+K51</f>
        <v>622560</v>
      </c>
      <c r="L52" s="139">
        <f t="shared" si="8"/>
        <v>809.32799999999997</v>
      </c>
      <c r="M52" s="76"/>
      <c r="N52" s="137">
        <f t="shared" si="2"/>
        <v>62.184000000000083</v>
      </c>
      <c r="O52" s="87">
        <f t="shared" si="6"/>
        <v>8.3228935787478836E-2</v>
      </c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</row>
    <row r="53" spans="1:63" x14ac:dyDescent="0.3">
      <c r="B53" s="73" t="s">
        <v>44</v>
      </c>
      <c r="C53" s="73"/>
      <c r="D53" s="7" t="s">
        <v>24</v>
      </c>
      <c r="E53" s="73"/>
      <c r="F53" s="135">
        <v>0.25</v>
      </c>
      <c r="G53" s="81">
        <v>1</v>
      </c>
      <c r="H53" s="139">
        <f t="shared" si="7"/>
        <v>0.25</v>
      </c>
      <c r="I53" s="76"/>
      <c r="J53" s="135">
        <f>+F53</f>
        <v>0.25</v>
      </c>
      <c r="K53" s="77">
        <v>1</v>
      </c>
      <c r="L53" s="139">
        <f t="shared" si="8"/>
        <v>0.25</v>
      </c>
      <c r="M53" s="76"/>
      <c r="N53" s="137">
        <f t="shared" si="2"/>
        <v>0</v>
      </c>
      <c r="O53" s="87">
        <f t="shared" si="6"/>
        <v>0</v>
      </c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</row>
    <row r="54" spans="1:63" x14ac:dyDescent="0.3">
      <c r="B54" s="73" t="s">
        <v>45</v>
      </c>
      <c r="C54" s="73"/>
      <c r="D54" s="7" t="s">
        <v>27</v>
      </c>
      <c r="E54" s="73"/>
      <c r="F54" s="135">
        <v>7.0000000000000001E-3</v>
      </c>
      <c r="G54" s="84">
        <f>F19</f>
        <v>600000</v>
      </c>
      <c r="H54" s="139">
        <f t="shared" si="7"/>
        <v>4200</v>
      </c>
      <c r="I54" s="76"/>
      <c r="J54" s="135">
        <f>+F54</f>
        <v>7.0000000000000001E-3</v>
      </c>
      <c r="K54" s="77">
        <f>F19</f>
        <v>600000</v>
      </c>
      <c r="L54" s="139">
        <f t="shared" si="8"/>
        <v>4200</v>
      </c>
      <c r="M54" s="76"/>
      <c r="N54" s="137">
        <f t="shared" si="2"/>
        <v>0</v>
      </c>
      <c r="O54" s="87">
        <f t="shared" si="6"/>
        <v>0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</row>
    <row r="55" spans="1:63" x14ac:dyDescent="0.3">
      <c r="B55" s="80" t="s">
        <v>46</v>
      </c>
      <c r="C55" s="73"/>
      <c r="D55" s="7" t="s">
        <v>27</v>
      </c>
      <c r="E55" s="73"/>
      <c r="F55" s="138">
        <v>6.7000000000000004E-2</v>
      </c>
      <c r="G55" s="27">
        <f>0.64*$F19*(1+F74)</f>
        <v>398476.80000000005</v>
      </c>
      <c r="H55" s="139">
        <f t="shared" si="7"/>
        <v>26697.945600000006</v>
      </c>
      <c r="I55" s="76"/>
      <c r="J55" s="138">
        <v>6.7000000000000004E-2</v>
      </c>
      <c r="K55" s="27">
        <f>0.64*$F19*(1+J74)</f>
        <v>398438.40000000002</v>
      </c>
      <c r="L55" s="139">
        <f>K55*J55</f>
        <v>26695.372800000005</v>
      </c>
      <c r="M55" s="76"/>
      <c r="N55" s="137">
        <f t="shared" si="2"/>
        <v>-2.5728000000017346</v>
      </c>
      <c r="O55" s="87">
        <f t="shared" si="6"/>
        <v>-9.6366965404324372E-5</v>
      </c>
      <c r="Q55" s="126"/>
      <c r="R55" s="126"/>
      <c r="S55" s="127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</row>
    <row r="56" spans="1:63" x14ac:dyDescent="0.3">
      <c r="B56" s="80" t="s">
        <v>47</v>
      </c>
      <c r="C56" s="73"/>
      <c r="D56" s="7" t="s">
        <v>27</v>
      </c>
      <c r="E56" s="73"/>
      <c r="F56" s="138">
        <v>0.104</v>
      </c>
      <c r="G56" s="27">
        <f>0.18*$F19*(1+F74)</f>
        <v>112071.6</v>
      </c>
      <c r="H56" s="139">
        <f t="shared" si="7"/>
        <v>11655.446400000001</v>
      </c>
      <c r="I56" s="76"/>
      <c r="J56" s="138">
        <v>0.104</v>
      </c>
      <c r="K56" s="27">
        <f>0.18*$F19*(1+J74)</f>
        <v>112060.8</v>
      </c>
      <c r="L56" s="139">
        <f t="shared" si="8"/>
        <v>11654.323199999999</v>
      </c>
      <c r="M56" s="76"/>
      <c r="N56" s="137">
        <f t="shared" si="2"/>
        <v>-1.1232000000018161</v>
      </c>
      <c r="O56" s="87">
        <f t="shared" si="6"/>
        <v>-9.6366965404415228E-5</v>
      </c>
      <c r="Q56" s="126"/>
      <c r="R56" s="126"/>
      <c r="S56" s="127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</row>
    <row r="57" spans="1:63" x14ac:dyDescent="0.3">
      <c r="B57" s="64" t="s">
        <v>48</v>
      </c>
      <c r="C57" s="73"/>
      <c r="D57" s="7" t="s">
        <v>27</v>
      </c>
      <c r="E57" s="73"/>
      <c r="F57" s="138">
        <v>0.124</v>
      </c>
      <c r="G57" s="27">
        <f>0.18*$F19*(1+F74)</f>
        <v>112071.6</v>
      </c>
      <c r="H57" s="139">
        <f t="shared" si="7"/>
        <v>13896.878400000001</v>
      </c>
      <c r="I57" s="76"/>
      <c r="J57" s="138">
        <v>0.124</v>
      </c>
      <c r="K57" s="27">
        <f>0.18*$F19*(1+J74)</f>
        <v>112060.8</v>
      </c>
      <c r="L57" s="139">
        <f t="shared" si="8"/>
        <v>13895.539200000001</v>
      </c>
      <c r="M57" s="76"/>
      <c r="N57" s="137">
        <f t="shared" si="2"/>
        <v>-1.3392000000003463</v>
      </c>
      <c r="O57" s="87">
        <f t="shared" si="6"/>
        <v>-9.6366965404284338E-5</v>
      </c>
      <c r="Q57" s="126"/>
      <c r="R57" s="126"/>
      <c r="S57" s="127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</row>
    <row r="58" spans="1:63" s="92" customFormat="1" x14ac:dyDescent="0.25">
      <c r="B58" s="89" t="s">
        <v>49</v>
      </c>
      <c r="C58" s="90"/>
      <c r="D58" s="29" t="s">
        <v>27</v>
      </c>
      <c r="E58" s="90"/>
      <c r="F58" s="138">
        <v>7.4999999999999997E-2</v>
      </c>
      <c r="G58" s="30">
        <f>IF(AND($T$1=1, F19&gt;=750), 750, IF(AND($T$1=1, AND(F19&lt;750, F19&gt;=0)), F19, IF(AND($T$1=2, F19&gt;=750), 750, IF(AND($T$1=2, AND(F19&lt;750, F19&gt;=0)), F19))))*(1+F74)</f>
        <v>0</v>
      </c>
      <c r="H58" s="139">
        <f t="shared" si="7"/>
        <v>0</v>
      </c>
      <c r="I58" s="91"/>
      <c r="J58" s="138">
        <v>7.4999999999999997E-2</v>
      </c>
      <c r="K58" s="30">
        <f>IF(AND($T$1=1, J19&gt;=750), 750, IF(AND($T$1=1, AND(J19&lt;750, J19&gt;=0)), J19, IF(AND($T$1=2, J19&gt;=750), 750, IF(AND($T$1=2, AND(J19&lt;750, J19&gt;=0)), J19))))*(1+J74)</f>
        <v>0</v>
      </c>
      <c r="L58" s="139">
        <f t="shared" si="8"/>
        <v>0</v>
      </c>
      <c r="M58" s="91"/>
      <c r="N58" s="140">
        <f t="shared" si="2"/>
        <v>0</v>
      </c>
      <c r="O58" s="87" t="str">
        <f t="shared" si="6"/>
        <v/>
      </c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</row>
    <row r="59" spans="1:63" s="92" customFormat="1" ht="15" thickBot="1" x14ac:dyDescent="0.3">
      <c r="B59" s="89" t="s">
        <v>50</v>
      </c>
      <c r="C59" s="90"/>
      <c r="D59" s="29" t="s">
        <v>27</v>
      </c>
      <c r="E59" s="90"/>
      <c r="F59" s="138">
        <v>8.7999999999999995E-2</v>
      </c>
      <c r="G59" s="30">
        <f>+F19*(1+F74)-G58</f>
        <v>622620</v>
      </c>
      <c r="H59" s="139">
        <f t="shared" si="7"/>
        <v>54790.559999999998</v>
      </c>
      <c r="I59" s="91"/>
      <c r="J59" s="138">
        <v>8.7999999999999995E-2</v>
      </c>
      <c r="K59" s="30">
        <f>+F19*(1+J74)-K58</f>
        <v>622560</v>
      </c>
      <c r="L59" s="139">
        <f t="shared" si="8"/>
        <v>54785.279999999999</v>
      </c>
      <c r="M59" s="91"/>
      <c r="N59" s="140">
        <f t="shared" si="2"/>
        <v>-5.2799999999988358</v>
      </c>
      <c r="O59" s="87">
        <f t="shared" si="6"/>
        <v>-9.6366965404238178E-5</v>
      </c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</row>
    <row r="60" spans="1:63" s="4" customFormat="1" ht="15" thickBot="1" x14ac:dyDescent="0.35">
      <c r="A60" s="60"/>
      <c r="B60" s="32"/>
      <c r="C60" s="33"/>
      <c r="D60" s="124"/>
      <c r="E60" s="33"/>
      <c r="F60" s="35"/>
      <c r="G60" s="36"/>
      <c r="H60" s="122"/>
      <c r="I60" s="123"/>
      <c r="J60" s="35"/>
      <c r="K60" s="39"/>
      <c r="L60" s="122"/>
      <c r="M60" s="123"/>
      <c r="N60" s="40"/>
      <c r="O60" s="41"/>
      <c r="P60" s="60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</row>
    <row r="61" spans="1:63" x14ac:dyDescent="0.3">
      <c r="B61" s="93" t="s">
        <v>51</v>
      </c>
      <c r="C61" s="73"/>
      <c r="D61" s="73"/>
      <c r="E61" s="73"/>
      <c r="F61" s="94"/>
      <c r="G61" s="95"/>
      <c r="H61" s="141">
        <f>SUM(H51:H57,H50)</f>
        <v>73540.760340000008</v>
      </c>
      <c r="I61" s="96"/>
      <c r="J61" s="97"/>
      <c r="K61" s="97"/>
      <c r="L61" s="144">
        <f>SUM(L51:L57,L50)</f>
        <v>70861.617888000008</v>
      </c>
      <c r="M61" s="145"/>
      <c r="N61" s="146">
        <f>L61-H61</f>
        <v>-2679.142452</v>
      </c>
      <c r="O61" s="98">
        <f>IF((H61)=0,"",(N61/H61))</f>
        <v>-3.6430714607974639E-2</v>
      </c>
      <c r="Q61" s="126"/>
      <c r="R61" s="126"/>
      <c r="S61" s="127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</row>
    <row r="62" spans="1:63" x14ac:dyDescent="0.3">
      <c r="B62" s="99" t="s">
        <v>52</v>
      </c>
      <c r="C62" s="73"/>
      <c r="D62" s="73"/>
      <c r="E62" s="73"/>
      <c r="F62" s="100">
        <v>0.13</v>
      </c>
      <c r="G62" s="101"/>
      <c r="H62" s="142">
        <f>H61*F62</f>
        <v>9560.2988442000005</v>
      </c>
      <c r="I62" s="102"/>
      <c r="J62" s="103">
        <v>0.13</v>
      </c>
      <c r="K62" s="102"/>
      <c r="L62" s="147">
        <f>L61*J62</f>
        <v>9212.0103254400019</v>
      </c>
      <c r="M62" s="148"/>
      <c r="N62" s="149">
        <f>L62-H62</f>
        <v>-348.28851875999862</v>
      </c>
      <c r="O62" s="104">
        <f>IF((H62)=0,"",(N62/H62))</f>
        <v>-3.6430714607974493E-2</v>
      </c>
      <c r="Q62" s="126"/>
      <c r="R62" s="126"/>
      <c r="S62" s="127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</row>
    <row r="63" spans="1:63" x14ac:dyDescent="0.3">
      <c r="B63" s="105" t="s">
        <v>53</v>
      </c>
      <c r="C63" s="73"/>
      <c r="D63" s="73"/>
      <c r="E63" s="73"/>
      <c r="F63" s="106"/>
      <c r="G63" s="101"/>
      <c r="H63" s="142">
        <f>H61+H62</f>
        <v>83101.059184200014</v>
      </c>
      <c r="I63" s="102"/>
      <c r="J63" s="102"/>
      <c r="K63" s="102"/>
      <c r="L63" s="147">
        <f>L61+L62</f>
        <v>80073.62821344001</v>
      </c>
      <c r="M63" s="148"/>
      <c r="N63" s="149">
        <f>L63-H63</f>
        <v>-3027.4309707600041</v>
      </c>
      <c r="O63" s="104">
        <f>IF((H63)=0,"",(N63/H63))</f>
        <v>-3.643071460797468E-2</v>
      </c>
      <c r="Q63" s="126"/>
      <c r="R63" s="126"/>
      <c r="S63" s="127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</row>
    <row r="64" spans="1:63" ht="14.4" customHeight="1" x14ac:dyDescent="0.3">
      <c r="B64" s="172" t="s">
        <v>54</v>
      </c>
      <c r="C64" s="172"/>
      <c r="D64" s="172"/>
      <c r="E64" s="73"/>
      <c r="F64" s="106"/>
      <c r="G64" s="101"/>
      <c r="H64" s="143">
        <v>0</v>
      </c>
      <c r="I64" s="102"/>
      <c r="J64" s="102"/>
      <c r="K64" s="102"/>
      <c r="L64" s="150">
        <v>0</v>
      </c>
      <c r="M64" s="148"/>
      <c r="N64" s="151">
        <f>L64-H64</f>
        <v>0</v>
      </c>
      <c r="O64" s="107" t="str">
        <f>IF((H64)=0,"",(N64/H64))</f>
        <v/>
      </c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</row>
    <row r="65" spans="1:63" s="4" customFormat="1" ht="15" thickBot="1" x14ac:dyDescent="0.35">
      <c r="A65" s="60"/>
      <c r="B65" s="173" t="s">
        <v>55</v>
      </c>
      <c r="C65" s="173"/>
      <c r="D65" s="173"/>
      <c r="E65" s="42"/>
      <c r="F65" s="43"/>
      <c r="G65" s="44"/>
      <c r="H65" s="45">
        <f>H63+H64</f>
        <v>83101.059184200014</v>
      </c>
      <c r="I65" s="46"/>
      <c r="J65" s="46"/>
      <c r="K65" s="46"/>
      <c r="L65" s="47">
        <f>L63+L64</f>
        <v>80073.62821344001</v>
      </c>
      <c r="M65" s="48"/>
      <c r="N65" s="49">
        <f>L65-H65</f>
        <v>-3027.4309707600041</v>
      </c>
      <c r="O65" s="50">
        <f>IF((H65)=0,"",(N65/H65))</f>
        <v>-3.643071460797468E-2</v>
      </c>
      <c r="P65" s="60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</row>
    <row r="66" spans="1:63" s="4" customFormat="1" ht="15" thickBot="1" x14ac:dyDescent="0.35">
      <c r="A66" s="60"/>
      <c r="B66" s="32"/>
      <c r="C66" s="33"/>
      <c r="D66" s="34"/>
      <c r="E66" s="33"/>
      <c r="F66" s="35"/>
      <c r="G66" s="36"/>
      <c r="H66" s="37"/>
      <c r="I66" s="38"/>
      <c r="J66" s="35"/>
      <c r="K66" s="39"/>
      <c r="L66" s="37"/>
      <c r="M66" s="123"/>
      <c r="N66" s="40"/>
      <c r="O66" s="41"/>
      <c r="P66" s="60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</row>
    <row r="67" spans="1:63" s="92" customFormat="1" ht="13.2" x14ac:dyDescent="0.25">
      <c r="B67" s="108" t="s">
        <v>56</v>
      </c>
      <c r="C67" s="90"/>
      <c r="D67" s="90"/>
      <c r="E67" s="90"/>
      <c r="F67" s="109"/>
      <c r="G67" s="110"/>
      <c r="H67" s="152">
        <f>SUM(H58:H59,H50,H51:H54)</f>
        <v>76081.049939999997</v>
      </c>
      <c r="I67" s="111"/>
      <c r="J67" s="112"/>
      <c r="K67" s="112"/>
      <c r="L67" s="155">
        <f>SUM(L58:L59,L50,L51:L54)</f>
        <v>73401.662687999997</v>
      </c>
      <c r="M67" s="156"/>
      <c r="N67" s="157">
        <f>L67-H67</f>
        <v>-2679.3872520000004</v>
      </c>
      <c r="O67" s="98">
        <f>IF((H67)=0,"",(N67/H67))</f>
        <v>-3.5217537798348637E-2</v>
      </c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63" s="92" customFormat="1" ht="13.2" x14ac:dyDescent="0.25">
      <c r="B68" s="113" t="s">
        <v>52</v>
      </c>
      <c r="C68" s="90"/>
      <c r="D68" s="90"/>
      <c r="E68" s="90"/>
      <c r="F68" s="114">
        <v>0.13</v>
      </c>
      <c r="G68" s="110"/>
      <c r="H68" s="153">
        <f>H67*F68</f>
        <v>9890.5364922000008</v>
      </c>
      <c r="I68" s="115"/>
      <c r="J68" s="116">
        <v>0.13</v>
      </c>
      <c r="K68" s="117"/>
      <c r="L68" s="158">
        <f>L67*J68</f>
        <v>9542.2161494400007</v>
      </c>
      <c r="M68" s="159"/>
      <c r="N68" s="160">
        <f>L68-H68</f>
        <v>-348.32034276000013</v>
      </c>
      <c r="O68" s="104">
        <f>IF((H68)=0,"",(N68/H68))</f>
        <v>-3.5217537798348644E-2</v>
      </c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63" s="92" customFormat="1" ht="13.2" x14ac:dyDescent="0.25">
      <c r="B69" s="118" t="s">
        <v>53</v>
      </c>
      <c r="C69" s="90"/>
      <c r="D69" s="90"/>
      <c r="E69" s="90"/>
      <c r="F69" s="119"/>
      <c r="G69" s="120"/>
      <c r="H69" s="153">
        <f>H67+H68</f>
        <v>85971.586432199998</v>
      </c>
      <c r="I69" s="115"/>
      <c r="J69" s="115"/>
      <c r="K69" s="115"/>
      <c r="L69" s="158">
        <f>L67+L68</f>
        <v>82943.878837440003</v>
      </c>
      <c r="M69" s="159"/>
      <c r="N69" s="160">
        <f>L69-H69</f>
        <v>-3027.7075947599951</v>
      </c>
      <c r="O69" s="104">
        <f>IF((H69)=0,"",(N69/H69))</f>
        <v>-3.5217537798348575E-2</v>
      </c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63" s="92" customFormat="1" ht="13.2" customHeight="1" x14ac:dyDescent="0.25">
      <c r="B70" s="174" t="s">
        <v>54</v>
      </c>
      <c r="C70" s="174"/>
      <c r="D70" s="174"/>
      <c r="E70" s="90"/>
      <c r="F70" s="119"/>
      <c r="G70" s="120"/>
      <c r="H70" s="154">
        <v>0</v>
      </c>
      <c r="I70" s="115"/>
      <c r="J70" s="115"/>
      <c r="K70" s="115"/>
      <c r="L70" s="161">
        <v>0</v>
      </c>
      <c r="M70" s="159"/>
      <c r="N70" s="162">
        <f>L70-H70</f>
        <v>0</v>
      </c>
      <c r="O70" s="107" t="str">
        <f>IF((H70)=0,"",(N70/H70))</f>
        <v/>
      </c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63" s="4" customFormat="1" ht="15" thickBot="1" x14ac:dyDescent="0.35">
      <c r="A71" s="60"/>
      <c r="B71" s="173" t="s">
        <v>57</v>
      </c>
      <c r="C71" s="173"/>
      <c r="D71" s="173"/>
      <c r="E71" s="42"/>
      <c r="F71" s="43"/>
      <c r="G71" s="44"/>
      <c r="H71" s="45">
        <f>SUM(H69:H70)</f>
        <v>85971.586432199998</v>
      </c>
      <c r="I71" s="46"/>
      <c r="J71" s="46"/>
      <c r="K71" s="46"/>
      <c r="L71" s="47">
        <f>SUM(L69:L70)</f>
        <v>82943.878837440003</v>
      </c>
      <c r="M71" s="48"/>
      <c r="N71" s="49">
        <f>L71-H71</f>
        <v>-3027.7075947599951</v>
      </c>
      <c r="O71" s="50">
        <f>IF((H71)=0,"",(N71/H71))</f>
        <v>-3.5217537798348575E-2</v>
      </c>
      <c r="P71" s="60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</row>
    <row r="72" spans="1:63" s="4" customFormat="1" ht="15" thickBot="1" x14ac:dyDescent="0.35">
      <c r="A72" s="60"/>
      <c r="B72" s="32"/>
      <c r="C72" s="33"/>
      <c r="D72" s="34"/>
      <c r="E72" s="33"/>
      <c r="F72" s="35"/>
      <c r="G72" s="36"/>
      <c r="H72" s="122"/>
      <c r="I72" s="123"/>
      <c r="J72" s="35"/>
      <c r="K72" s="39"/>
      <c r="L72" s="37"/>
      <c r="M72" s="123"/>
      <c r="N72" s="40"/>
      <c r="O72" s="41"/>
      <c r="P72" s="60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</row>
    <row r="73" spans="1:63" x14ac:dyDescent="0.3">
      <c r="L73" s="88"/>
    </row>
    <row r="74" spans="1:63" x14ac:dyDescent="0.3">
      <c r="B74" s="65" t="s">
        <v>58</v>
      </c>
      <c r="F74" s="51">
        <v>3.7699999999999997E-2</v>
      </c>
      <c r="J74" s="51">
        <f>+Residential!$J$74</f>
        <v>3.7600000000000001E-2</v>
      </c>
    </row>
    <row r="76" spans="1:63" x14ac:dyDescent="0.3">
      <c r="L76" s="56"/>
      <c r="M76" s="56"/>
      <c r="N76" s="56"/>
      <c r="O76" s="56"/>
      <c r="P76" s="56"/>
    </row>
    <row r="77" spans="1:63" ht="16.2" x14ac:dyDescent="0.3">
      <c r="A77" s="121" t="s">
        <v>59</v>
      </c>
    </row>
    <row r="79" spans="1:63" x14ac:dyDescent="0.3">
      <c r="A79" s="60" t="s">
        <v>60</v>
      </c>
    </row>
    <row r="80" spans="1:63" x14ac:dyDescent="0.3">
      <c r="A80" s="60" t="s">
        <v>61</v>
      </c>
    </row>
    <row r="81" spans="2:16" ht="11.4" customHeight="1" x14ac:dyDescent="0.3"/>
    <row r="82" spans="2:16" x14ac:dyDescent="0.3">
      <c r="B82" s="60" t="s">
        <v>62</v>
      </c>
    </row>
    <row r="87" spans="2:16" ht="17.399999999999999" x14ac:dyDescent="0.3">
      <c r="B87" s="175" t="s">
        <v>6</v>
      </c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56"/>
    </row>
    <row r="88" spans="2:16" ht="18.75" customHeight="1" x14ac:dyDescent="0.3">
      <c r="B88" s="175" t="s">
        <v>7</v>
      </c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56"/>
    </row>
    <row r="89" spans="2:16" ht="7.5" customHeight="1" x14ac:dyDescent="0.3">
      <c r="L89" s="56"/>
      <c r="M89" s="56"/>
      <c r="N89" s="56"/>
      <c r="O89" s="56"/>
      <c r="P89" s="56"/>
    </row>
    <row r="90" spans="2:16" ht="7.5" customHeight="1" x14ac:dyDescent="0.3">
      <c r="L90" s="56"/>
      <c r="M90" s="56"/>
      <c r="N90" s="56"/>
      <c r="O90" s="56"/>
      <c r="P90" s="56"/>
    </row>
    <row r="91" spans="2:16" ht="15.6" x14ac:dyDescent="0.3">
      <c r="B91" s="61" t="s">
        <v>8</v>
      </c>
      <c r="D91" s="185" t="s">
        <v>69</v>
      </c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</row>
    <row r="92" spans="2:16" ht="7.5" customHeight="1" x14ac:dyDescent="0.3">
      <c r="B92" s="62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</row>
    <row r="93" spans="2:16" ht="15.6" x14ac:dyDescent="0.3">
      <c r="B93" s="61" t="s">
        <v>9</v>
      </c>
      <c r="D93" s="5" t="s">
        <v>63</v>
      </c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</row>
    <row r="94" spans="2:16" ht="15.6" x14ac:dyDescent="0.3">
      <c r="B94" s="62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</row>
    <row r="95" spans="2:16" x14ac:dyDescent="0.3">
      <c r="B95" s="64"/>
      <c r="D95" s="65" t="s">
        <v>11</v>
      </c>
      <c r="E95" s="65"/>
      <c r="F95" s="6">
        <v>2200</v>
      </c>
      <c r="G95" s="65" t="s">
        <v>64</v>
      </c>
    </row>
    <row r="96" spans="2:16" x14ac:dyDescent="0.3">
      <c r="B96" s="64"/>
      <c r="F96" s="6">
        <v>1000000</v>
      </c>
      <c r="G96" s="65" t="s">
        <v>12</v>
      </c>
    </row>
    <row r="97" spans="2:29" x14ac:dyDescent="0.3">
      <c r="B97" s="64"/>
      <c r="D97" s="66"/>
      <c r="E97" s="66"/>
      <c r="F97" s="176" t="s">
        <v>13</v>
      </c>
      <c r="G97" s="177"/>
      <c r="H97" s="178"/>
      <c r="J97" s="176" t="s">
        <v>14</v>
      </c>
      <c r="K97" s="177"/>
      <c r="L97" s="178"/>
      <c r="N97" s="176" t="s">
        <v>15</v>
      </c>
      <c r="O97" s="178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</row>
    <row r="98" spans="2:29" x14ac:dyDescent="0.3">
      <c r="B98" s="64"/>
      <c r="D98" s="179" t="s">
        <v>16</v>
      </c>
      <c r="E98" s="67"/>
      <c r="F98" s="68" t="s">
        <v>17</v>
      </c>
      <c r="G98" s="68" t="s">
        <v>18</v>
      </c>
      <c r="H98" s="69" t="s">
        <v>19</v>
      </c>
      <c r="J98" s="68" t="s">
        <v>17</v>
      </c>
      <c r="K98" s="70" t="s">
        <v>18</v>
      </c>
      <c r="L98" s="69" t="s">
        <v>19</v>
      </c>
      <c r="N98" s="181" t="s">
        <v>20</v>
      </c>
      <c r="O98" s="183" t="s">
        <v>21</v>
      </c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</row>
    <row r="99" spans="2:29" x14ac:dyDescent="0.3">
      <c r="B99" s="64"/>
      <c r="D99" s="180"/>
      <c r="E99" s="67"/>
      <c r="F99" s="71" t="s">
        <v>22</v>
      </c>
      <c r="G99" s="71"/>
      <c r="H99" s="72" t="s">
        <v>22</v>
      </c>
      <c r="J99" s="71" t="s">
        <v>22</v>
      </c>
      <c r="K99" s="72"/>
      <c r="L99" s="72" t="s">
        <v>22</v>
      </c>
      <c r="N99" s="182"/>
      <c r="O99" s="184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</row>
    <row r="100" spans="2:29" x14ac:dyDescent="0.3">
      <c r="B100" s="73" t="s">
        <v>23</v>
      </c>
      <c r="C100" s="73"/>
      <c r="D100" s="7" t="s">
        <v>24</v>
      </c>
      <c r="E100" s="73"/>
      <c r="F100" s="129">
        <v>3399.83</v>
      </c>
      <c r="G100" s="74">
        <v>1</v>
      </c>
      <c r="H100" s="75">
        <f t="shared" ref="H100:H115" si="9">G100*F100</f>
        <v>3399.83</v>
      </c>
      <c r="I100" s="76"/>
      <c r="J100" s="129">
        <v>3399.83</v>
      </c>
      <c r="K100" s="77">
        <v>1</v>
      </c>
      <c r="L100" s="75">
        <f t="shared" ref="L100:L115" si="10">K100*J100</f>
        <v>3399.83</v>
      </c>
      <c r="M100" s="76"/>
      <c r="N100" s="78">
        <f t="shared" ref="N100:N136" si="11">L100-H100</f>
        <v>0</v>
      </c>
      <c r="O100" s="79">
        <f t="shared" ref="O100:O122" si="12">IF((H100)=0,"",(N100/H100))</f>
        <v>0</v>
      </c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</row>
    <row r="101" spans="2:29" x14ac:dyDescent="0.3">
      <c r="B101" s="73" t="s">
        <v>25</v>
      </c>
      <c r="C101" s="73"/>
      <c r="D101" s="7" t="s">
        <v>24</v>
      </c>
      <c r="E101" s="73"/>
      <c r="F101" s="133"/>
      <c r="G101" s="74">
        <v>1</v>
      </c>
      <c r="H101" s="136">
        <f t="shared" si="9"/>
        <v>0</v>
      </c>
      <c r="I101" s="76"/>
      <c r="J101" s="130"/>
      <c r="K101" s="77">
        <v>1</v>
      </c>
      <c r="L101" s="136">
        <f t="shared" si="10"/>
        <v>0</v>
      </c>
      <c r="M101" s="76"/>
      <c r="N101" s="137">
        <f t="shared" si="11"/>
        <v>0</v>
      </c>
      <c r="O101" s="79" t="str">
        <f t="shared" si="12"/>
        <v/>
      </c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</row>
    <row r="102" spans="2:29" x14ac:dyDescent="0.3">
      <c r="B102" s="9"/>
      <c r="C102" s="73"/>
      <c r="D102" s="7"/>
      <c r="E102" s="73"/>
      <c r="F102" s="134"/>
      <c r="G102" s="74">
        <v>1</v>
      </c>
      <c r="H102" s="136">
        <f t="shared" si="9"/>
        <v>0</v>
      </c>
      <c r="I102" s="76"/>
      <c r="J102" s="131"/>
      <c r="K102" s="77">
        <v>1</v>
      </c>
      <c r="L102" s="136">
        <f t="shared" si="10"/>
        <v>0</v>
      </c>
      <c r="M102" s="76"/>
      <c r="N102" s="137">
        <f t="shared" si="11"/>
        <v>0</v>
      </c>
      <c r="O102" s="79" t="str">
        <f t="shared" si="12"/>
        <v/>
      </c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</row>
    <row r="103" spans="2:29" x14ac:dyDescent="0.3">
      <c r="B103" s="9"/>
      <c r="C103" s="73"/>
      <c r="D103" s="7"/>
      <c r="E103" s="73"/>
      <c r="F103" s="134"/>
      <c r="G103" s="74">
        <v>1</v>
      </c>
      <c r="H103" s="136">
        <f t="shared" si="9"/>
        <v>0</v>
      </c>
      <c r="I103" s="76"/>
      <c r="J103" s="131"/>
      <c r="K103" s="77">
        <v>1</v>
      </c>
      <c r="L103" s="136">
        <f t="shared" si="10"/>
        <v>0</v>
      </c>
      <c r="M103" s="76"/>
      <c r="N103" s="137">
        <f t="shared" si="11"/>
        <v>0</v>
      </c>
      <c r="O103" s="79" t="str">
        <f t="shared" si="12"/>
        <v/>
      </c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</row>
    <row r="104" spans="2:29" x14ac:dyDescent="0.3">
      <c r="B104" s="10"/>
      <c r="C104" s="73"/>
      <c r="D104" s="7"/>
      <c r="E104" s="73"/>
      <c r="F104" s="134"/>
      <c r="G104" s="74">
        <v>1</v>
      </c>
      <c r="H104" s="136">
        <f t="shared" si="9"/>
        <v>0</v>
      </c>
      <c r="I104" s="76"/>
      <c r="J104" s="131"/>
      <c r="K104" s="77">
        <v>1</v>
      </c>
      <c r="L104" s="136">
        <f t="shared" si="10"/>
        <v>0</v>
      </c>
      <c r="M104" s="76"/>
      <c r="N104" s="137">
        <f t="shared" si="11"/>
        <v>0</v>
      </c>
      <c r="O104" s="79" t="str">
        <f t="shared" si="12"/>
        <v/>
      </c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</row>
    <row r="105" spans="2:29" x14ac:dyDescent="0.3">
      <c r="B105" s="10"/>
      <c r="C105" s="73"/>
      <c r="D105" s="7"/>
      <c r="E105" s="73"/>
      <c r="F105" s="134"/>
      <c r="G105" s="74">
        <v>1</v>
      </c>
      <c r="H105" s="136">
        <f t="shared" si="9"/>
        <v>0</v>
      </c>
      <c r="I105" s="76"/>
      <c r="J105" s="131"/>
      <c r="K105" s="77">
        <v>1</v>
      </c>
      <c r="L105" s="136">
        <f t="shared" si="10"/>
        <v>0</v>
      </c>
      <c r="M105" s="76"/>
      <c r="N105" s="137">
        <f t="shared" si="11"/>
        <v>0</v>
      </c>
      <c r="O105" s="79" t="str">
        <f t="shared" si="12"/>
        <v/>
      </c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</row>
    <row r="106" spans="2:29" x14ac:dyDescent="0.3">
      <c r="B106" s="73" t="s">
        <v>26</v>
      </c>
      <c r="C106" s="73"/>
      <c r="D106" s="7" t="s">
        <v>67</v>
      </c>
      <c r="E106" s="73"/>
      <c r="F106" s="135">
        <v>1.8569</v>
      </c>
      <c r="G106" s="74">
        <f>$F95</f>
        <v>2200</v>
      </c>
      <c r="H106" s="136">
        <f t="shared" si="9"/>
        <v>4085.18</v>
      </c>
      <c r="I106" s="76"/>
      <c r="J106" s="132">
        <v>2.6884000000000001</v>
      </c>
      <c r="K106" s="74">
        <f>$F95</f>
        <v>2200</v>
      </c>
      <c r="L106" s="136">
        <f t="shared" si="10"/>
        <v>5914.4800000000005</v>
      </c>
      <c r="M106" s="76"/>
      <c r="N106" s="137">
        <f t="shared" si="11"/>
        <v>1829.3000000000006</v>
      </c>
      <c r="O106" s="79">
        <f t="shared" si="12"/>
        <v>0.44778932629651585</v>
      </c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</row>
    <row r="107" spans="2:29" x14ac:dyDescent="0.3">
      <c r="B107" s="73" t="s">
        <v>28</v>
      </c>
      <c r="C107" s="73"/>
      <c r="D107" s="7" t="s">
        <v>24</v>
      </c>
      <c r="E107" s="73"/>
      <c r="F107" s="135"/>
      <c r="G107" s="74">
        <v>1</v>
      </c>
      <c r="H107" s="136">
        <f t="shared" si="9"/>
        <v>0</v>
      </c>
      <c r="I107" s="76"/>
      <c r="J107" s="132"/>
      <c r="K107" s="74">
        <v>1</v>
      </c>
      <c r="L107" s="136">
        <f t="shared" si="10"/>
        <v>0</v>
      </c>
      <c r="M107" s="76"/>
      <c r="N107" s="137">
        <f t="shared" si="11"/>
        <v>0</v>
      </c>
      <c r="O107" s="79" t="str">
        <f t="shared" si="12"/>
        <v/>
      </c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</row>
    <row r="108" spans="2:29" x14ac:dyDescent="0.3">
      <c r="B108" s="73" t="s">
        <v>29</v>
      </c>
      <c r="C108" s="73"/>
      <c r="D108" s="7" t="s">
        <v>67</v>
      </c>
      <c r="E108" s="73"/>
      <c r="F108" s="135">
        <v>-1.4E-3</v>
      </c>
      <c r="G108" s="74">
        <f>$F95</f>
        <v>2200</v>
      </c>
      <c r="H108" s="136">
        <f t="shared" si="9"/>
        <v>-3.08</v>
      </c>
      <c r="I108" s="76"/>
      <c r="J108" s="171">
        <v>0</v>
      </c>
      <c r="K108" s="74">
        <f>$F95</f>
        <v>2200</v>
      </c>
      <c r="L108" s="136">
        <f t="shared" si="10"/>
        <v>0</v>
      </c>
      <c r="M108" s="76"/>
      <c r="N108" s="137">
        <f t="shared" si="11"/>
        <v>3.08</v>
      </c>
      <c r="O108" s="79">
        <f t="shared" si="12"/>
        <v>-1</v>
      </c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</row>
    <row r="109" spans="2:29" x14ac:dyDescent="0.3">
      <c r="B109" s="11" t="s">
        <v>30</v>
      </c>
      <c r="C109" s="73"/>
      <c r="D109" s="7" t="s">
        <v>67</v>
      </c>
      <c r="E109" s="73"/>
      <c r="F109" s="135">
        <v>0.22309999999999999</v>
      </c>
      <c r="G109" s="74">
        <f>$F95</f>
        <v>2200</v>
      </c>
      <c r="H109" s="136">
        <f t="shared" si="9"/>
        <v>490.82</v>
      </c>
      <c r="I109" s="76"/>
      <c r="J109" s="132"/>
      <c r="K109" s="74">
        <f>$F95</f>
        <v>2200</v>
      </c>
      <c r="L109" s="136">
        <f t="shared" si="10"/>
        <v>0</v>
      </c>
      <c r="M109" s="76"/>
      <c r="N109" s="137">
        <f t="shared" si="11"/>
        <v>-490.82</v>
      </c>
      <c r="O109" s="79">
        <f t="shared" si="12"/>
        <v>-1</v>
      </c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</row>
    <row r="110" spans="2:29" x14ac:dyDescent="0.3">
      <c r="B110" s="11" t="s">
        <v>31</v>
      </c>
      <c r="C110" s="73"/>
      <c r="D110" s="7" t="s">
        <v>67</v>
      </c>
      <c r="E110" s="73"/>
      <c r="F110" s="135">
        <v>-4.0500000000000001E-2</v>
      </c>
      <c r="G110" s="74">
        <f>$F95</f>
        <v>2200</v>
      </c>
      <c r="H110" s="136">
        <f t="shared" si="9"/>
        <v>-89.100000000000009</v>
      </c>
      <c r="I110" s="76"/>
      <c r="J110" s="132"/>
      <c r="K110" s="74">
        <f>$F95</f>
        <v>2200</v>
      </c>
      <c r="L110" s="136">
        <f t="shared" si="10"/>
        <v>0</v>
      </c>
      <c r="M110" s="76"/>
      <c r="N110" s="137">
        <f t="shared" si="11"/>
        <v>89.100000000000009</v>
      </c>
      <c r="O110" s="79">
        <f t="shared" si="12"/>
        <v>-1</v>
      </c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</row>
    <row r="111" spans="2:29" x14ac:dyDescent="0.3">
      <c r="B111" s="11" t="s">
        <v>70</v>
      </c>
      <c r="C111" s="73"/>
      <c r="D111" s="7" t="s">
        <v>67</v>
      </c>
      <c r="E111" s="73"/>
      <c r="F111" s="135">
        <v>1.3157000000000001</v>
      </c>
      <c r="G111" s="74">
        <f>$F95</f>
        <v>2200</v>
      </c>
      <c r="H111" s="136">
        <f t="shared" si="9"/>
        <v>2894.5400000000004</v>
      </c>
      <c r="I111" s="76"/>
      <c r="J111" s="132">
        <v>-0.71440000000000003</v>
      </c>
      <c r="K111" s="74">
        <f>$F95</f>
        <v>2200</v>
      </c>
      <c r="L111" s="136">
        <f t="shared" si="10"/>
        <v>-1571.68</v>
      </c>
      <c r="M111" s="76"/>
      <c r="N111" s="137">
        <f t="shared" si="11"/>
        <v>-4466.22</v>
      </c>
      <c r="O111" s="79">
        <f t="shared" si="12"/>
        <v>-1.5429809227027436</v>
      </c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</row>
    <row r="112" spans="2:29" x14ac:dyDescent="0.3">
      <c r="B112" s="12" t="str">
        <f>+Residential!$B$35</f>
        <v>Rate Rider for Disposition of Account 1576</v>
      </c>
      <c r="C112" s="73"/>
      <c r="D112" s="7" t="s">
        <v>67</v>
      </c>
      <c r="E112" s="73"/>
      <c r="F112" s="134"/>
      <c r="G112" s="74">
        <f>$F95</f>
        <v>2200</v>
      </c>
      <c r="H112" s="136">
        <f t="shared" si="9"/>
        <v>0</v>
      </c>
      <c r="I112" s="76"/>
      <c r="J112" s="132">
        <v>-0.25790000000000002</v>
      </c>
      <c r="K112" s="74">
        <f>$F95</f>
        <v>2200</v>
      </c>
      <c r="L112" s="136">
        <f t="shared" si="10"/>
        <v>-567.38</v>
      </c>
      <c r="M112" s="76"/>
      <c r="N112" s="137">
        <f t="shared" si="11"/>
        <v>-567.38</v>
      </c>
      <c r="O112" s="79" t="str">
        <f t="shared" si="12"/>
        <v/>
      </c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</row>
    <row r="113" spans="1:63" x14ac:dyDescent="0.3">
      <c r="B113" s="12" t="str">
        <f>+Residential!$B$36</f>
        <v xml:space="preserve">Rate Rider for Disposition of CGAAP CWIP differential </v>
      </c>
      <c r="C113" s="73"/>
      <c r="D113" s="7" t="s">
        <v>67</v>
      </c>
      <c r="E113" s="73"/>
      <c r="F113" s="134"/>
      <c r="G113" s="74">
        <f>$F95</f>
        <v>2200</v>
      </c>
      <c r="H113" s="136">
        <f t="shared" si="9"/>
        <v>0</v>
      </c>
      <c r="I113" s="76"/>
      <c r="J113" s="132">
        <v>0.13930000000000001</v>
      </c>
      <c r="K113" s="74">
        <f>$F95</f>
        <v>2200</v>
      </c>
      <c r="L113" s="136">
        <f t="shared" si="10"/>
        <v>306.46000000000004</v>
      </c>
      <c r="M113" s="76"/>
      <c r="N113" s="137">
        <f t="shared" si="11"/>
        <v>306.46000000000004</v>
      </c>
      <c r="O113" s="79" t="str">
        <f t="shared" si="12"/>
        <v/>
      </c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</row>
    <row r="114" spans="1:63" x14ac:dyDescent="0.3">
      <c r="B114" s="12" t="str">
        <f>+Residential!$B$37</f>
        <v xml:space="preserve">Rate Rider for Disposition of Incremental Capital Expenditures </v>
      </c>
      <c r="C114" s="73"/>
      <c r="D114" s="7" t="s">
        <v>67</v>
      </c>
      <c r="E114" s="73"/>
      <c r="F114" s="131"/>
      <c r="G114" s="74">
        <f>$F95</f>
        <v>2200</v>
      </c>
      <c r="H114" s="136">
        <f t="shared" si="9"/>
        <v>0</v>
      </c>
      <c r="I114" s="76"/>
      <c r="J114" s="132">
        <v>8.3599999999999994E-2</v>
      </c>
      <c r="K114" s="74">
        <f>$F95</f>
        <v>2200</v>
      </c>
      <c r="L114" s="136">
        <f t="shared" si="10"/>
        <v>183.92</v>
      </c>
      <c r="M114" s="76"/>
      <c r="N114" s="137">
        <f t="shared" si="11"/>
        <v>183.92</v>
      </c>
      <c r="O114" s="79" t="str">
        <f t="shared" si="12"/>
        <v/>
      </c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</row>
    <row r="115" spans="1:63" x14ac:dyDescent="0.3">
      <c r="B115" s="12"/>
      <c r="C115" s="73"/>
      <c r="D115" s="7"/>
      <c r="E115" s="73"/>
      <c r="F115" s="131"/>
      <c r="G115" s="74">
        <f>$F95</f>
        <v>2200</v>
      </c>
      <c r="H115" s="136">
        <f t="shared" si="9"/>
        <v>0</v>
      </c>
      <c r="I115" s="76"/>
      <c r="J115" s="131"/>
      <c r="K115" s="74">
        <f>$F95</f>
        <v>2200</v>
      </c>
      <c r="L115" s="136">
        <f t="shared" si="10"/>
        <v>0</v>
      </c>
      <c r="M115" s="76"/>
      <c r="N115" s="137">
        <f t="shared" si="11"/>
        <v>0</v>
      </c>
      <c r="O115" s="79" t="str">
        <f t="shared" si="12"/>
        <v/>
      </c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</row>
    <row r="116" spans="1:63" s="4" customFormat="1" x14ac:dyDescent="0.3">
      <c r="A116" s="60"/>
      <c r="B116" s="19" t="s">
        <v>33</v>
      </c>
      <c r="C116" s="20"/>
      <c r="D116" s="20"/>
      <c r="E116" s="20"/>
      <c r="F116" s="21"/>
      <c r="G116" s="22"/>
      <c r="H116" s="23">
        <f>SUM(H100:H115)</f>
        <v>10778.19</v>
      </c>
      <c r="I116" s="13"/>
      <c r="J116" s="14"/>
      <c r="K116" s="24"/>
      <c r="L116" s="23">
        <f>SUM(L100:L115)</f>
        <v>7665.630000000001</v>
      </c>
      <c r="M116" s="13"/>
      <c r="N116" s="15">
        <f t="shared" si="11"/>
        <v>-3112.5599999999995</v>
      </c>
      <c r="O116" s="16">
        <f t="shared" si="12"/>
        <v>-0.28878318159171434</v>
      </c>
      <c r="P116" s="60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</row>
    <row r="117" spans="1:63" x14ac:dyDescent="0.3">
      <c r="B117" s="17" t="s">
        <v>34</v>
      </c>
      <c r="C117" s="73"/>
      <c r="D117" s="7" t="s">
        <v>67</v>
      </c>
      <c r="E117" s="73"/>
      <c r="F117" s="135">
        <v>0.1113</v>
      </c>
      <c r="G117" s="74">
        <f>$F95</f>
        <v>2200</v>
      </c>
      <c r="H117" s="136">
        <f t="shared" ref="H117:H123" si="13">G117*F117</f>
        <v>244.85999999999999</v>
      </c>
      <c r="I117" s="76"/>
      <c r="J117" s="132">
        <v>-0.73419999999999996</v>
      </c>
      <c r="K117" s="74">
        <f>$F95</f>
        <v>2200</v>
      </c>
      <c r="L117" s="136">
        <f t="shared" ref="L117:L123" si="14">K117*J117</f>
        <v>-1615.24</v>
      </c>
      <c r="M117" s="76"/>
      <c r="N117" s="137">
        <f t="shared" si="11"/>
        <v>-1860.1</v>
      </c>
      <c r="O117" s="79">
        <f t="shared" si="12"/>
        <v>-7.5965858041329737</v>
      </c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</row>
    <row r="118" spans="1:63" x14ac:dyDescent="0.3">
      <c r="B118" s="17"/>
      <c r="C118" s="73"/>
      <c r="D118" s="7"/>
      <c r="E118" s="73"/>
      <c r="F118" s="8"/>
      <c r="G118" s="74">
        <f>$F95</f>
        <v>2200</v>
      </c>
      <c r="H118" s="136">
        <f t="shared" si="13"/>
        <v>0</v>
      </c>
      <c r="I118" s="82"/>
      <c r="J118" s="8"/>
      <c r="K118" s="74">
        <f>$F95</f>
        <v>2200</v>
      </c>
      <c r="L118" s="136">
        <f t="shared" si="14"/>
        <v>0</v>
      </c>
      <c r="M118" s="83"/>
      <c r="N118" s="137">
        <f t="shared" si="11"/>
        <v>0</v>
      </c>
      <c r="O118" s="79" t="str">
        <f t="shared" si="12"/>
        <v/>
      </c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</row>
    <row r="119" spans="1:63" x14ac:dyDescent="0.3">
      <c r="B119" s="17"/>
      <c r="C119" s="73"/>
      <c r="D119" s="7"/>
      <c r="E119" s="73"/>
      <c r="F119" s="8"/>
      <c r="G119" s="74">
        <f>$F95</f>
        <v>2200</v>
      </c>
      <c r="H119" s="136">
        <f t="shared" si="13"/>
        <v>0</v>
      </c>
      <c r="I119" s="82"/>
      <c r="J119" s="8"/>
      <c r="K119" s="74">
        <f>$F95</f>
        <v>2200</v>
      </c>
      <c r="L119" s="136">
        <f t="shared" si="14"/>
        <v>0</v>
      </c>
      <c r="M119" s="83"/>
      <c r="N119" s="137">
        <f t="shared" si="11"/>
        <v>0</v>
      </c>
      <c r="O119" s="79" t="str">
        <f t="shared" si="12"/>
        <v/>
      </c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</row>
    <row r="120" spans="1:63" x14ac:dyDescent="0.3">
      <c r="B120" s="17"/>
      <c r="C120" s="73"/>
      <c r="D120" s="7"/>
      <c r="E120" s="73"/>
      <c r="F120" s="8"/>
      <c r="G120" s="74">
        <f>$F95</f>
        <v>2200</v>
      </c>
      <c r="H120" s="136">
        <f t="shared" si="13"/>
        <v>0</v>
      </c>
      <c r="I120" s="82"/>
      <c r="J120" s="8"/>
      <c r="K120" s="74">
        <f>$F95</f>
        <v>2200</v>
      </c>
      <c r="L120" s="136">
        <f t="shared" si="14"/>
        <v>0</v>
      </c>
      <c r="M120" s="83"/>
      <c r="N120" s="137">
        <f t="shared" si="11"/>
        <v>0</v>
      </c>
      <c r="O120" s="79" t="str">
        <f t="shared" si="12"/>
        <v/>
      </c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</row>
    <row r="121" spans="1:63" x14ac:dyDescent="0.3">
      <c r="B121" s="80" t="s">
        <v>35</v>
      </c>
      <c r="C121" s="73"/>
      <c r="D121" s="7" t="s">
        <v>67</v>
      </c>
      <c r="E121" s="73"/>
      <c r="F121" s="135">
        <v>6.3799999999999996E-2</v>
      </c>
      <c r="G121" s="74">
        <f>$F95</f>
        <v>2200</v>
      </c>
      <c r="H121" s="136">
        <f t="shared" si="13"/>
        <v>140.35999999999999</v>
      </c>
      <c r="I121" s="76"/>
      <c r="J121" s="132">
        <v>0.1313</v>
      </c>
      <c r="K121" s="74">
        <f>$F95</f>
        <v>2200</v>
      </c>
      <c r="L121" s="136">
        <f t="shared" si="14"/>
        <v>288.86</v>
      </c>
      <c r="M121" s="76"/>
      <c r="N121" s="137">
        <f t="shared" si="11"/>
        <v>148.50000000000003</v>
      </c>
      <c r="O121" s="79">
        <f t="shared" si="12"/>
        <v>1.0579937304075238</v>
      </c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</row>
    <row r="122" spans="1:63" x14ac:dyDescent="0.3">
      <c r="B122" s="80" t="s">
        <v>36</v>
      </c>
      <c r="C122" s="73"/>
      <c r="D122" s="7" t="s">
        <v>27</v>
      </c>
      <c r="E122" s="73"/>
      <c r="F122" s="138"/>
      <c r="G122" s="18">
        <f>$F96*(1+$F151)-$F96</f>
        <v>37700.000000000116</v>
      </c>
      <c r="H122" s="136">
        <f t="shared" si="13"/>
        <v>0</v>
      </c>
      <c r="I122" s="76"/>
      <c r="J122" s="138"/>
      <c r="K122" s="18">
        <f>$F96*(1+$J151)-$F96</f>
        <v>37600.000000000116</v>
      </c>
      <c r="L122" s="136">
        <f t="shared" si="14"/>
        <v>0</v>
      </c>
      <c r="M122" s="76"/>
      <c r="N122" s="137">
        <f t="shared" si="11"/>
        <v>0</v>
      </c>
      <c r="O122" s="79" t="str">
        <f t="shared" si="12"/>
        <v/>
      </c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</row>
    <row r="123" spans="1:63" x14ac:dyDescent="0.3">
      <c r="B123" s="80" t="s">
        <v>37</v>
      </c>
      <c r="C123" s="73"/>
      <c r="D123" s="7" t="s">
        <v>24</v>
      </c>
      <c r="E123" s="73"/>
      <c r="F123" s="138">
        <v>0</v>
      </c>
      <c r="G123" s="74">
        <v>1</v>
      </c>
      <c r="H123" s="136">
        <f t="shared" si="13"/>
        <v>0</v>
      </c>
      <c r="I123" s="76"/>
      <c r="J123" s="138"/>
      <c r="K123" s="81">
        <v>1</v>
      </c>
      <c r="L123" s="136">
        <f t="shared" si="14"/>
        <v>0</v>
      </c>
      <c r="M123" s="76"/>
      <c r="N123" s="137">
        <f t="shared" si="11"/>
        <v>0</v>
      </c>
      <c r="O123" s="79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</row>
    <row r="124" spans="1:63" s="4" customFormat="1" x14ac:dyDescent="0.3">
      <c r="A124" s="60"/>
      <c r="B124" s="19" t="s">
        <v>38</v>
      </c>
      <c r="C124" s="20"/>
      <c r="D124" s="20"/>
      <c r="E124" s="20"/>
      <c r="F124" s="21"/>
      <c r="G124" s="22"/>
      <c r="H124" s="23">
        <f>SUM(H117:H123)+H116</f>
        <v>11163.41</v>
      </c>
      <c r="I124" s="13"/>
      <c r="J124" s="22"/>
      <c r="K124" s="24"/>
      <c r="L124" s="23">
        <f>SUM(L117:L123)+L116</f>
        <v>6339.2500000000009</v>
      </c>
      <c r="M124" s="13"/>
      <c r="N124" s="15">
        <f t="shared" si="11"/>
        <v>-4824.1599999999989</v>
      </c>
      <c r="O124" s="16">
        <f t="shared" ref="O124:O136" si="15">IF((H124)=0,"",(N124/H124))</f>
        <v>-0.43214035854635807</v>
      </c>
      <c r="P124" s="60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</row>
    <row r="125" spans="1:63" x14ac:dyDescent="0.3">
      <c r="B125" s="76" t="s">
        <v>39</v>
      </c>
      <c r="C125" s="76"/>
      <c r="D125" s="25" t="s">
        <v>67</v>
      </c>
      <c r="E125" s="76"/>
      <c r="F125" s="135">
        <v>2.8561000000000001</v>
      </c>
      <c r="G125" s="18">
        <f>F95*(1+F151)</f>
        <v>2282.94</v>
      </c>
      <c r="H125" s="136">
        <f>G125*F125</f>
        <v>6520.3049340000007</v>
      </c>
      <c r="I125" s="76"/>
      <c r="J125" s="135">
        <f>+$J$48</f>
        <v>2.8328000000000002</v>
      </c>
      <c r="K125" s="18">
        <f>F95*(1+J151)</f>
        <v>2282.7200000000003</v>
      </c>
      <c r="L125" s="136">
        <f>K125*J125</f>
        <v>6466.4892160000009</v>
      </c>
      <c r="M125" s="76"/>
      <c r="N125" s="136">
        <f t="shared" si="11"/>
        <v>-53.815717999999833</v>
      </c>
      <c r="O125" s="79">
        <f t="shared" si="15"/>
        <v>-8.2535584676996995E-3</v>
      </c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</row>
    <row r="126" spans="1:63" x14ac:dyDescent="0.3">
      <c r="B126" s="85" t="s">
        <v>40</v>
      </c>
      <c r="C126" s="76"/>
      <c r="D126" s="25" t="s">
        <v>67</v>
      </c>
      <c r="E126" s="76"/>
      <c r="F126" s="135">
        <v>1.9374</v>
      </c>
      <c r="G126" s="18">
        <f>G125</f>
        <v>2282.94</v>
      </c>
      <c r="H126" s="136">
        <f>G126*F126</f>
        <v>4422.9679560000004</v>
      </c>
      <c r="I126" s="76"/>
      <c r="J126" s="135">
        <f>+$J$49</f>
        <v>1.8771</v>
      </c>
      <c r="K126" s="18">
        <f>K125</f>
        <v>2282.7200000000003</v>
      </c>
      <c r="L126" s="136">
        <f>K126*J126</f>
        <v>4284.8937120000001</v>
      </c>
      <c r="M126" s="76"/>
      <c r="N126" s="136">
        <f t="shared" si="11"/>
        <v>-138.07424400000036</v>
      </c>
      <c r="O126" s="79">
        <f t="shared" si="15"/>
        <v>-3.1217554676762925E-2</v>
      </c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</row>
    <row r="127" spans="1:63" s="4" customFormat="1" x14ac:dyDescent="0.3">
      <c r="A127" s="60"/>
      <c r="B127" s="19" t="s">
        <v>41</v>
      </c>
      <c r="C127" s="20"/>
      <c r="D127" s="20"/>
      <c r="E127" s="20"/>
      <c r="F127" s="21"/>
      <c r="G127" s="22"/>
      <c r="H127" s="23">
        <f>SUM(H124:H126)</f>
        <v>22106.68289</v>
      </c>
      <c r="I127" s="13"/>
      <c r="J127" s="26"/>
      <c r="K127" s="22"/>
      <c r="L127" s="23">
        <f>SUM(L124:L126)</f>
        <v>17090.632928000003</v>
      </c>
      <c r="M127" s="13"/>
      <c r="N127" s="15">
        <f t="shared" si="11"/>
        <v>-5016.0499619999973</v>
      </c>
      <c r="O127" s="16">
        <f t="shared" si="15"/>
        <v>-0.22690197289929087</v>
      </c>
      <c r="P127" s="60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</row>
    <row r="128" spans="1:63" x14ac:dyDescent="0.3">
      <c r="B128" s="86" t="s">
        <v>42</v>
      </c>
      <c r="C128" s="73"/>
      <c r="D128" s="7" t="s">
        <v>27</v>
      </c>
      <c r="E128" s="73"/>
      <c r="F128" s="135">
        <v>4.4000000000000003E-3</v>
      </c>
      <c r="G128" s="18">
        <f>F96*(1+F151)</f>
        <v>1037700.0000000001</v>
      </c>
      <c r="H128" s="139">
        <f t="shared" ref="H128:H136" si="16">G128*F128</f>
        <v>4565.880000000001</v>
      </c>
      <c r="I128" s="76"/>
      <c r="J128" s="135">
        <f>+F128</f>
        <v>4.4000000000000003E-3</v>
      </c>
      <c r="K128" s="18">
        <f>F96*(1+J151)</f>
        <v>1037600.0000000001</v>
      </c>
      <c r="L128" s="139">
        <f t="shared" ref="L128:L136" si="17">K128*J128</f>
        <v>4565.4400000000005</v>
      </c>
      <c r="M128" s="76"/>
      <c r="N128" s="137">
        <f t="shared" si="11"/>
        <v>-0.44000000000050932</v>
      </c>
      <c r="O128" s="87">
        <f t="shared" si="15"/>
        <v>-9.6366965404370952E-5</v>
      </c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</row>
    <row r="129" spans="1:63" x14ac:dyDescent="0.3">
      <c r="B129" s="86" t="s">
        <v>43</v>
      </c>
      <c r="C129" s="73"/>
      <c r="D129" s="7" t="s">
        <v>27</v>
      </c>
      <c r="E129" s="73"/>
      <c r="F129" s="135">
        <v>1.1999999999999999E-3</v>
      </c>
      <c r="G129" s="18">
        <f>+G128</f>
        <v>1037700.0000000001</v>
      </c>
      <c r="H129" s="139">
        <f t="shared" si="16"/>
        <v>1245.24</v>
      </c>
      <c r="I129" s="76"/>
      <c r="J129" s="135">
        <v>1.2999999999999999E-3</v>
      </c>
      <c r="K129" s="18">
        <f>+K128</f>
        <v>1037600.0000000001</v>
      </c>
      <c r="L129" s="139">
        <f t="shared" si="17"/>
        <v>1348.88</v>
      </c>
      <c r="M129" s="76"/>
      <c r="N129" s="137">
        <f t="shared" si="11"/>
        <v>103.6400000000001</v>
      </c>
      <c r="O129" s="87">
        <f t="shared" si="15"/>
        <v>8.3228935787478794E-2</v>
      </c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</row>
    <row r="130" spans="1:63" x14ac:dyDescent="0.3">
      <c r="B130" s="73" t="s">
        <v>44</v>
      </c>
      <c r="C130" s="73"/>
      <c r="D130" s="7" t="s">
        <v>24</v>
      </c>
      <c r="E130" s="73"/>
      <c r="F130" s="135">
        <v>0.25</v>
      </c>
      <c r="G130" s="81">
        <v>1</v>
      </c>
      <c r="H130" s="139">
        <f t="shared" si="16"/>
        <v>0.25</v>
      </c>
      <c r="I130" s="76"/>
      <c r="J130" s="135">
        <f>+F130</f>
        <v>0.25</v>
      </c>
      <c r="K130" s="77">
        <v>1</v>
      </c>
      <c r="L130" s="139">
        <f t="shared" si="17"/>
        <v>0.25</v>
      </c>
      <c r="M130" s="76"/>
      <c r="N130" s="137">
        <f t="shared" si="11"/>
        <v>0</v>
      </c>
      <c r="O130" s="87">
        <f t="shared" si="15"/>
        <v>0</v>
      </c>
      <c r="Q130" s="126"/>
      <c r="R130" s="126"/>
      <c r="S130" s="126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</row>
    <row r="131" spans="1:63" x14ac:dyDescent="0.3">
      <c r="B131" s="73" t="s">
        <v>45</v>
      </c>
      <c r="C131" s="73"/>
      <c r="D131" s="7" t="s">
        <v>27</v>
      </c>
      <c r="E131" s="73"/>
      <c r="F131" s="135">
        <v>7.0000000000000001E-3</v>
      </c>
      <c r="G131" s="84">
        <f>F96</f>
        <v>1000000</v>
      </c>
      <c r="H131" s="139">
        <f t="shared" si="16"/>
        <v>7000</v>
      </c>
      <c r="I131" s="76"/>
      <c r="J131" s="135">
        <f>+F131</f>
        <v>7.0000000000000001E-3</v>
      </c>
      <c r="K131" s="77">
        <f>F96</f>
        <v>1000000</v>
      </c>
      <c r="L131" s="139">
        <f t="shared" si="17"/>
        <v>7000</v>
      </c>
      <c r="M131" s="76"/>
      <c r="N131" s="137">
        <f t="shared" si="11"/>
        <v>0</v>
      </c>
      <c r="O131" s="87">
        <f t="shared" si="15"/>
        <v>0</v>
      </c>
      <c r="Q131" s="126"/>
      <c r="R131" s="126"/>
      <c r="S131" s="126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</row>
    <row r="132" spans="1:63" x14ac:dyDescent="0.3">
      <c r="B132" s="80" t="s">
        <v>46</v>
      </c>
      <c r="C132" s="73"/>
      <c r="D132" s="7" t="s">
        <v>27</v>
      </c>
      <c r="E132" s="73"/>
      <c r="F132" s="138">
        <v>6.7000000000000004E-2</v>
      </c>
      <c r="G132" s="27">
        <f>0.64*$F96*(1+F151)</f>
        <v>664128</v>
      </c>
      <c r="H132" s="139">
        <f t="shared" si="16"/>
        <v>44496.576000000001</v>
      </c>
      <c r="I132" s="76"/>
      <c r="J132" s="138">
        <v>6.7000000000000004E-2</v>
      </c>
      <c r="K132" s="27">
        <f>0.64*$F96*(1+J151)</f>
        <v>664064</v>
      </c>
      <c r="L132" s="139">
        <f t="shared" si="17"/>
        <v>44492.288</v>
      </c>
      <c r="M132" s="76"/>
      <c r="N132" s="137">
        <f t="shared" si="11"/>
        <v>-4.2880000000004657</v>
      </c>
      <c r="O132" s="87">
        <f t="shared" si="15"/>
        <v>-9.6366965404269878E-5</v>
      </c>
      <c r="Q132" s="126"/>
      <c r="R132" s="126"/>
      <c r="S132" s="127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</row>
    <row r="133" spans="1:63" x14ac:dyDescent="0.3">
      <c r="B133" s="80" t="s">
        <v>47</v>
      </c>
      <c r="C133" s="73"/>
      <c r="D133" s="7" t="s">
        <v>27</v>
      </c>
      <c r="E133" s="73"/>
      <c r="F133" s="138">
        <v>0.104</v>
      </c>
      <c r="G133" s="27">
        <f>0.18*$F96*(1+F151)</f>
        <v>186786</v>
      </c>
      <c r="H133" s="139">
        <f t="shared" si="16"/>
        <v>19425.743999999999</v>
      </c>
      <c r="I133" s="76"/>
      <c r="J133" s="138">
        <v>0.104</v>
      </c>
      <c r="K133" s="27">
        <f>0.18*$F96*(1+J151)</f>
        <v>186768</v>
      </c>
      <c r="L133" s="139">
        <f t="shared" si="17"/>
        <v>19423.871999999999</v>
      </c>
      <c r="M133" s="76"/>
      <c r="N133" s="137">
        <f t="shared" si="11"/>
        <v>-1.8719999999993888</v>
      </c>
      <c r="O133" s="87">
        <f t="shared" si="15"/>
        <v>-9.636696540422796E-5</v>
      </c>
      <c r="Q133" s="126"/>
      <c r="R133" s="126"/>
      <c r="S133" s="127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</row>
    <row r="134" spans="1:63" x14ac:dyDescent="0.3">
      <c r="B134" s="64" t="s">
        <v>48</v>
      </c>
      <c r="C134" s="73"/>
      <c r="D134" s="7" t="s">
        <v>27</v>
      </c>
      <c r="E134" s="73"/>
      <c r="F134" s="138">
        <v>0.124</v>
      </c>
      <c r="G134" s="27">
        <f>0.18*$F96*(1+F151)</f>
        <v>186786</v>
      </c>
      <c r="H134" s="139">
        <f t="shared" si="16"/>
        <v>23161.464</v>
      </c>
      <c r="I134" s="76"/>
      <c r="J134" s="138">
        <v>0.124</v>
      </c>
      <c r="K134" s="27">
        <f>0.18*$F96*(1+J151)</f>
        <v>186768</v>
      </c>
      <c r="L134" s="139">
        <f t="shared" si="17"/>
        <v>23159.232</v>
      </c>
      <c r="M134" s="76"/>
      <c r="N134" s="137">
        <f t="shared" si="11"/>
        <v>-2.2319999999999709</v>
      </c>
      <c r="O134" s="87">
        <f t="shared" si="15"/>
        <v>-9.6366965404258168E-5</v>
      </c>
      <c r="Q134" s="126"/>
      <c r="R134" s="126"/>
      <c r="S134" s="127"/>
      <c r="T134" s="126"/>
      <c r="U134" s="126"/>
      <c r="V134" s="126"/>
      <c r="W134" s="126"/>
      <c r="X134" s="126"/>
      <c r="Y134" s="126"/>
      <c r="Z134" s="126"/>
      <c r="AA134" s="126"/>
      <c r="AB134" s="126"/>
      <c r="AC134" s="126"/>
    </row>
    <row r="135" spans="1:63" s="92" customFormat="1" x14ac:dyDescent="0.25">
      <c r="B135" s="89" t="s">
        <v>49</v>
      </c>
      <c r="C135" s="90"/>
      <c r="D135" s="29" t="s">
        <v>27</v>
      </c>
      <c r="E135" s="90"/>
      <c r="F135" s="138">
        <v>7.4999999999999997E-2</v>
      </c>
      <c r="G135" s="30">
        <f>IF(AND($T$1=1, F96&gt;=750), 750, IF(AND($T$1=1, AND(F96&lt;750, F96&gt;=0)), F96, IF(AND($T$1=2, F96&gt;=750), 750, IF(AND($T$1=2, AND(F96&lt;750, F96&gt;=0)), F96))))*(1+F151)</f>
        <v>0</v>
      </c>
      <c r="H135" s="139">
        <f t="shared" si="16"/>
        <v>0</v>
      </c>
      <c r="I135" s="91"/>
      <c r="J135" s="138">
        <v>7.4999999999999997E-2</v>
      </c>
      <c r="K135" s="30">
        <f>IF(AND($T$1=1, J96&gt;=750), 750, IF(AND($T$1=1, AND(J96&lt;750, J96&gt;=0)), J96, IF(AND($T$1=2, J96&gt;=750), 750, IF(AND($T$1=2, AND(J96&lt;750, J96&gt;=0)), J96))))*(1+J151)</f>
        <v>0</v>
      </c>
      <c r="L135" s="139">
        <f t="shared" si="17"/>
        <v>0</v>
      </c>
      <c r="M135" s="91"/>
      <c r="N135" s="140">
        <f t="shared" si="11"/>
        <v>0</v>
      </c>
      <c r="O135" s="87" t="str">
        <f t="shared" si="15"/>
        <v/>
      </c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  <c r="AB135" s="128"/>
      <c r="AC135" s="128"/>
    </row>
    <row r="136" spans="1:63" s="92" customFormat="1" ht="15" thickBot="1" x14ac:dyDescent="0.3">
      <c r="B136" s="89" t="s">
        <v>50</v>
      </c>
      <c r="C136" s="90"/>
      <c r="D136" s="29" t="s">
        <v>27</v>
      </c>
      <c r="E136" s="90"/>
      <c r="F136" s="138">
        <v>8.7999999999999995E-2</v>
      </c>
      <c r="G136" s="30">
        <f>+F96*(1+F151)-G135</f>
        <v>1037700.0000000001</v>
      </c>
      <c r="H136" s="139">
        <f t="shared" si="16"/>
        <v>91317.6</v>
      </c>
      <c r="I136" s="91"/>
      <c r="J136" s="138">
        <v>8.7999999999999995E-2</v>
      </c>
      <c r="K136" s="30">
        <f>+F96*(1+J151)-K135</f>
        <v>1037600.0000000001</v>
      </c>
      <c r="L136" s="139">
        <f t="shared" si="17"/>
        <v>91308.800000000003</v>
      </c>
      <c r="M136" s="91"/>
      <c r="N136" s="140">
        <f t="shared" si="11"/>
        <v>-8.8000000000029104</v>
      </c>
      <c r="O136" s="87">
        <f t="shared" si="15"/>
        <v>-9.6366965404291291E-5</v>
      </c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  <c r="AA136" s="128"/>
      <c r="AB136" s="128"/>
      <c r="AC136" s="128"/>
    </row>
    <row r="137" spans="1:63" s="4" customFormat="1" ht="15" thickBot="1" x14ac:dyDescent="0.35">
      <c r="A137" s="60"/>
      <c r="B137" s="32"/>
      <c r="C137" s="33"/>
      <c r="D137" s="124"/>
      <c r="E137" s="33"/>
      <c r="F137" s="35"/>
      <c r="G137" s="36"/>
      <c r="H137" s="122"/>
      <c r="I137" s="123"/>
      <c r="J137" s="35"/>
      <c r="K137" s="39"/>
      <c r="L137" s="122"/>
      <c r="M137" s="123"/>
      <c r="N137" s="40"/>
      <c r="O137" s="41"/>
      <c r="P137" s="60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</row>
    <row r="138" spans="1:63" x14ac:dyDescent="0.3">
      <c r="B138" s="93" t="s">
        <v>51</v>
      </c>
      <c r="C138" s="73"/>
      <c r="D138" s="73"/>
      <c r="E138" s="73"/>
      <c r="F138" s="94"/>
      <c r="G138" s="95"/>
      <c r="H138" s="141">
        <f>SUM(H128:H134,H127)</f>
        <v>122001.83689000001</v>
      </c>
      <c r="I138" s="96"/>
      <c r="J138" s="97"/>
      <c r="K138" s="97"/>
      <c r="L138" s="144">
        <f>SUM(L128:L134,L127)</f>
        <v>117080.59492800001</v>
      </c>
      <c r="M138" s="145"/>
      <c r="N138" s="146">
        <f>L138-H138</f>
        <v>-4921.2419620000001</v>
      </c>
      <c r="O138" s="98">
        <f>IF((H138)=0,"",(N138/H138))</f>
        <v>-4.0337441529155978E-2</v>
      </c>
      <c r="Q138" s="126"/>
      <c r="R138" s="126"/>
      <c r="S138" s="127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</row>
    <row r="139" spans="1:63" x14ac:dyDescent="0.3">
      <c r="B139" s="99" t="s">
        <v>52</v>
      </c>
      <c r="C139" s="73"/>
      <c r="D139" s="73"/>
      <c r="E139" s="73"/>
      <c r="F139" s="100">
        <v>0.13</v>
      </c>
      <c r="G139" s="101"/>
      <c r="H139" s="142">
        <f>H138*F139</f>
        <v>15860.238795700001</v>
      </c>
      <c r="I139" s="102"/>
      <c r="J139" s="103">
        <v>0.13</v>
      </c>
      <c r="K139" s="102"/>
      <c r="L139" s="147">
        <f>L138*J139</f>
        <v>15220.477340640002</v>
      </c>
      <c r="M139" s="148"/>
      <c r="N139" s="149">
        <f>L139-H139</f>
        <v>-639.76145505999921</v>
      </c>
      <c r="O139" s="104">
        <f>IF((H139)=0,"",(N139/H139))</f>
        <v>-4.0337441529155929E-2</v>
      </c>
      <c r="Q139" s="126"/>
      <c r="R139" s="126"/>
      <c r="S139" s="127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</row>
    <row r="140" spans="1:63" x14ac:dyDescent="0.3">
      <c r="B140" s="105" t="s">
        <v>53</v>
      </c>
      <c r="C140" s="73"/>
      <c r="D140" s="73"/>
      <c r="E140" s="73"/>
      <c r="F140" s="106"/>
      <c r="G140" s="101"/>
      <c r="H140" s="142">
        <f>H138+H139</f>
        <v>137862.07568569999</v>
      </c>
      <c r="I140" s="102"/>
      <c r="J140" s="102"/>
      <c r="K140" s="102"/>
      <c r="L140" s="147">
        <f>L138+L139</f>
        <v>132301.07226864001</v>
      </c>
      <c r="M140" s="148"/>
      <c r="N140" s="149">
        <f>L140-H140</f>
        <v>-5561.0034170599829</v>
      </c>
      <c r="O140" s="104">
        <f>IF((H140)=0,"",(N140/H140))</f>
        <v>-4.033744152915586E-2</v>
      </c>
      <c r="Q140" s="126"/>
      <c r="R140" s="126"/>
      <c r="S140" s="127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</row>
    <row r="141" spans="1:63" ht="14.4" customHeight="1" x14ac:dyDescent="0.3">
      <c r="B141" s="172" t="s">
        <v>54</v>
      </c>
      <c r="C141" s="172"/>
      <c r="D141" s="172"/>
      <c r="E141" s="73"/>
      <c r="F141" s="106"/>
      <c r="G141" s="101"/>
      <c r="H141" s="143">
        <v>0</v>
      </c>
      <c r="I141" s="102"/>
      <c r="J141" s="102"/>
      <c r="K141" s="102"/>
      <c r="L141" s="150">
        <v>0</v>
      </c>
      <c r="M141" s="148"/>
      <c r="N141" s="151">
        <f>L141-H141</f>
        <v>0</v>
      </c>
      <c r="O141" s="107" t="str">
        <f>IF((H141)=0,"",(N141/H141))</f>
        <v/>
      </c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</row>
    <row r="142" spans="1:63" s="4" customFormat="1" ht="15" thickBot="1" x14ac:dyDescent="0.35">
      <c r="A142" s="60"/>
      <c r="B142" s="173" t="s">
        <v>55</v>
      </c>
      <c r="C142" s="173"/>
      <c r="D142" s="173"/>
      <c r="E142" s="42"/>
      <c r="F142" s="43"/>
      <c r="G142" s="44"/>
      <c r="H142" s="45">
        <f>H140+H141</f>
        <v>137862.07568569999</v>
      </c>
      <c r="I142" s="46"/>
      <c r="J142" s="46"/>
      <c r="K142" s="46"/>
      <c r="L142" s="47">
        <f>L140+L141</f>
        <v>132301.07226864001</v>
      </c>
      <c r="M142" s="48"/>
      <c r="N142" s="49">
        <f>L142-H142</f>
        <v>-5561.0034170599829</v>
      </c>
      <c r="O142" s="50">
        <f>IF((H142)=0,"",(N142/H142))</f>
        <v>-4.033744152915586E-2</v>
      </c>
      <c r="P142" s="60"/>
      <c r="Q142" s="126"/>
      <c r="R142" s="126"/>
      <c r="S142" s="126"/>
      <c r="T142" s="126"/>
      <c r="U142" s="126"/>
      <c r="V142" s="126"/>
      <c r="W142" s="126"/>
      <c r="X142" s="126"/>
      <c r="Y142" s="126"/>
      <c r="Z142" s="126"/>
      <c r="AA142" s="126"/>
      <c r="AB142" s="126"/>
      <c r="AC142" s="126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</row>
    <row r="143" spans="1:63" s="4" customFormat="1" ht="15" thickBot="1" x14ac:dyDescent="0.35">
      <c r="A143" s="60"/>
      <c r="B143" s="32"/>
      <c r="C143" s="33"/>
      <c r="D143" s="34"/>
      <c r="E143" s="33"/>
      <c r="F143" s="35"/>
      <c r="G143" s="36"/>
      <c r="H143" s="37"/>
      <c r="I143" s="38"/>
      <c r="J143" s="35"/>
      <c r="K143" s="39"/>
      <c r="L143" s="37"/>
      <c r="M143" s="123"/>
      <c r="N143" s="40"/>
      <c r="O143" s="41"/>
      <c r="P143" s="60"/>
      <c r="Q143" s="126"/>
      <c r="R143" s="126"/>
      <c r="S143" s="126"/>
      <c r="T143" s="126"/>
      <c r="U143" s="126"/>
      <c r="V143" s="126"/>
      <c r="W143" s="126"/>
      <c r="X143" s="126"/>
      <c r="Y143" s="126"/>
      <c r="Z143" s="126"/>
      <c r="AA143" s="126"/>
      <c r="AB143" s="126"/>
      <c r="AC143" s="126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</row>
    <row r="144" spans="1:63" s="92" customFormat="1" ht="13.2" x14ac:dyDescent="0.25">
      <c r="B144" s="108" t="s">
        <v>56</v>
      </c>
      <c r="C144" s="90"/>
      <c r="D144" s="90"/>
      <c r="E144" s="90"/>
      <c r="F144" s="109"/>
      <c r="G144" s="110"/>
      <c r="H144" s="152">
        <f>SUM(H135:H136,H127,H128:H131)</f>
        <v>126235.65289000001</v>
      </c>
      <c r="I144" s="111"/>
      <c r="J144" s="112"/>
      <c r="K144" s="112"/>
      <c r="L144" s="155">
        <f>SUM(L135:L136,L127,L128:L131)</f>
        <v>121314.00292800002</v>
      </c>
      <c r="M144" s="156"/>
      <c r="N144" s="157">
        <f>L144-H144</f>
        <v>-4921.6499619999959</v>
      </c>
      <c r="O144" s="98">
        <f>IF((H144)=0,"",(N144/H144))</f>
        <v>-3.8987796627381117E-2</v>
      </c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</row>
    <row r="145" spans="1:63" s="92" customFormat="1" ht="13.2" x14ac:dyDescent="0.25">
      <c r="B145" s="113" t="s">
        <v>52</v>
      </c>
      <c r="C145" s="90"/>
      <c r="D145" s="90"/>
      <c r="E145" s="90"/>
      <c r="F145" s="114">
        <v>0.13</v>
      </c>
      <c r="G145" s="110"/>
      <c r="H145" s="153">
        <f>H144*F145</f>
        <v>16410.634875700001</v>
      </c>
      <c r="I145" s="115"/>
      <c r="J145" s="116">
        <v>0.13</v>
      </c>
      <c r="K145" s="117"/>
      <c r="L145" s="158">
        <f>L144*J145</f>
        <v>15770.820380640003</v>
      </c>
      <c r="M145" s="159"/>
      <c r="N145" s="160">
        <f>L145-H145</f>
        <v>-639.81449505999808</v>
      </c>
      <c r="O145" s="104">
        <f>IF((H145)=0,"",(N145/H145))</f>
        <v>-3.8987796627381034E-2</v>
      </c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</row>
    <row r="146" spans="1:63" s="92" customFormat="1" ht="13.2" x14ac:dyDescent="0.25">
      <c r="B146" s="118" t="s">
        <v>53</v>
      </c>
      <c r="C146" s="90"/>
      <c r="D146" s="90"/>
      <c r="E146" s="90"/>
      <c r="F146" s="119"/>
      <c r="G146" s="120"/>
      <c r="H146" s="153">
        <f>H144+H145</f>
        <v>142646.28776570002</v>
      </c>
      <c r="I146" s="115"/>
      <c r="J146" s="115"/>
      <c r="K146" s="115"/>
      <c r="L146" s="158">
        <f>L144+L145</f>
        <v>137084.82330864001</v>
      </c>
      <c r="M146" s="159"/>
      <c r="N146" s="160">
        <f>L146-H146</f>
        <v>-5561.4644570600067</v>
      </c>
      <c r="O146" s="104">
        <f>IF((H146)=0,"",(N146/H146))</f>
        <v>-3.8987796627381194E-2</v>
      </c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</row>
    <row r="147" spans="1:63" s="92" customFormat="1" ht="13.2" customHeight="1" x14ac:dyDescent="0.25">
      <c r="B147" s="174" t="s">
        <v>54</v>
      </c>
      <c r="C147" s="174"/>
      <c r="D147" s="174"/>
      <c r="E147" s="90"/>
      <c r="F147" s="119"/>
      <c r="G147" s="120"/>
      <c r="H147" s="154">
        <v>0</v>
      </c>
      <c r="I147" s="115"/>
      <c r="J147" s="115"/>
      <c r="K147" s="115"/>
      <c r="L147" s="161">
        <v>0</v>
      </c>
      <c r="M147" s="159"/>
      <c r="N147" s="162">
        <f>L147-H147</f>
        <v>0</v>
      </c>
      <c r="O147" s="107" t="str">
        <f>IF((H147)=0,"",(N147/H147))</f>
        <v/>
      </c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</row>
    <row r="148" spans="1:63" s="4" customFormat="1" ht="15" thickBot="1" x14ac:dyDescent="0.35">
      <c r="A148" s="60"/>
      <c r="B148" s="173" t="s">
        <v>57</v>
      </c>
      <c r="C148" s="173"/>
      <c r="D148" s="173"/>
      <c r="E148" s="42"/>
      <c r="F148" s="43"/>
      <c r="G148" s="44"/>
      <c r="H148" s="45">
        <f>SUM(H146:H147)</f>
        <v>142646.28776570002</v>
      </c>
      <c r="I148" s="46"/>
      <c r="J148" s="46"/>
      <c r="K148" s="46"/>
      <c r="L148" s="47">
        <f>SUM(L146:L147)</f>
        <v>137084.82330864001</v>
      </c>
      <c r="M148" s="48"/>
      <c r="N148" s="49">
        <f>L148-H148</f>
        <v>-5561.4644570600067</v>
      </c>
      <c r="O148" s="50">
        <f>IF((H148)=0,"",(N148/H148))</f>
        <v>-3.8987796627381194E-2</v>
      </c>
      <c r="P148" s="60"/>
      <c r="Q148" s="126"/>
      <c r="R148" s="126"/>
      <c r="S148" s="126"/>
      <c r="T148" s="126"/>
      <c r="U148" s="126"/>
      <c r="V148" s="126"/>
      <c r="W148" s="126"/>
      <c r="X148" s="126"/>
      <c r="Y148" s="126"/>
      <c r="Z148" s="126"/>
      <c r="AA148" s="126"/>
      <c r="AB148" s="126"/>
      <c r="AC148" s="126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</row>
    <row r="149" spans="1:63" s="4" customFormat="1" ht="15" thickBot="1" x14ac:dyDescent="0.35">
      <c r="A149" s="60"/>
      <c r="B149" s="32"/>
      <c r="C149" s="33"/>
      <c r="D149" s="34"/>
      <c r="E149" s="33"/>
      <c r="F149" s="35"/>
      <c r="G149" s="36"/>
      <c r="H149" s="122"/>
      <c r="I149" s="123"/>
      <c r="J149" s="35"/>
      <c r="K149" s="39"/>
      <c r="L149" s="37"/>
      <c r="M149" s="123"/>
      <c r="N149" s="40"/>
      <c r="O149" s="41"/>
      <c r="P149" s="60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</row>
    <row r="150" spans="1:63" x14ac:dyDescent="0.3">
      <c r="L150" s="88"/>
    </row>
    <row r="151" spans="1:63" x14ac:dyDescent="0.3">
      <c r="B151" s="65" t="s">
        <v>58</v>
      </c>
      <c r="F151" s="51">
        <v>3.7699999999999997E-2</v>
      </c>
      <c r="J151" s="51">
        <f>+Residential!$J$74</f>
        <v>3.7600000000000001E-2</v>
      </c>
    </row>
    <row r="153" spans="1:63" x14ac:dyDescent="0.3">
      <c r="L153" s="56"/>
      <c r="M153" s="56"/>
      <c r="N153" s="56"/>
      <c r="O153" s="56"/>
      <c r="P153" s="56"/>
    </row>
    <row r="154" spans="1:63" ht="16.2" x14ac:dyDescent="0.3">
      <c r="A154" s="121" t="s">
        <v>59</v>
      </c>
    </row>
    <row r="156" spans="1:63" x14ac:dyDescent="0.3">
      <c r="A156" s="60" t="s">
        <v>60</v>
      </c>
    </row>
    <row r="157" spans="1:63" x14ac:dyDescent="0.3">
      <c r="A157" s="60" t="s">
        <v>61</v>
      </c>
    </row>
    <row r="158" spans="1:63" ht="11.4" customHeight="1" x14ac:dyDescent="0.3"/>
    <row r="159" spans="1:63" ht="15.6" customHeight="1" x14ac:dyDescent="0.3">
      <c r="B159" s="60" t="s">
        <v>62</v>
      </c>
    </row>
    <row r="160" spans="1:63" ht="15.6" customHeight="1" x14ac:dyDescent="0.3"/>
    <row r="161" spans="2:29" ht="15.6" customHeight="1" x14ac:dyDescent="0.3"/>
    <row r="162" spans="2:29" ht="15.6" customHeight="1" x14ac:dyDescent="0.3"/>
    <row r="163" spans="2:29" ht="18.75" customHeight="1" x14ac:dyDescent="0.3">
      <c r="B163" s="175" t="s">
        <v>6</v>
      </c>
      <c r="C163" s="175"/>
      <c r="D163" s="175"/>
      <c r="E163" s="175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56"/>
    </row>
    <row r="164" spans="2:29" ht="18.75" customHeight="1" x14ac:dyDescent="0.3">
      <c r="B164" s="175" t="s">
        <v>7</v>
      </c>
      <c r="C164" s="175"/>
      <c r="D164" s="175"/>
      <c r="E164" s="175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56"/>
    </row>
    <row r="165" spans="2:29" ht="7.5" customHeight="1" x14ac:dyDescent="0.3">
      <c r="L165" s="56"/>
      <c r="M165" s="56"/>
      <c r="N165" s="56"/>
      <c r="O165" s="56"/>
      <c r="P165" s="56"/>
    </row>
    <row r="166" spans="2:29" ht="7.5" customHeight="1" x14ac:dyDescent="0.3">
      <c r="L166" s="56"/>
      <c r="M166" s="56"/>
      <c r="N166" s="56"/>
      <c r="O166" s="56"/>
      <c r="P166" s="56"/>
    </row>
    <row r="167" spans="2:29" ht="15.6" x14ac:dyDescent="0.3">
      <c r="B167" s="61" t="s">
        <v>8</v>
      </c>
      <c r="D167" s="185" t="s">
        <v>69</v>
      </c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</row>
    <row r="168" spans="2:29" ht="7.5" customHeight="1" x14ac:dyDescent="0.3">
      <c r="B168" s="62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</row>
    <row r="169" spans="2:29" ht="15.6" x14ac:dyDescent="0.3">
      <c r="B169" s="61" t="s">
        <v>9</v>
      </c>
      <c r="D169" s="5" t="s">
        <v>63</v>
      </c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</row>
    <row r="170" spans="2:29" ht="15.6" x14ac:dyDescent="0.3">
      <c r="B170" s="62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</row>
    <row r="171" spans="2:29" x14ac:dyDescent="0.3">
      <c r="B171" s="64"/>
      <c r="D171" s="65" t="s">
        <v>11</v>
      </c>
      <c r="E171" s="65"/>
      <c r="F171" s="6">
        <v>4000</v>
      </c>
      <c r="G171" s="65" t="s">
        <v>64</v>
      </c>
    </row>
    <row r="172" spans="2:29" x14ac:dyDescent="0.3">
      <c r="B172" s="64"/>
      <c r="F172" s="6">
        <v>1600000</v>
      </c>
      <c r="G172" s="65" t="s">
        <v>12</v>
      </c>
    </row>
    <row r="173" spans="2:29" x14ac:dyDescent="0.3">
      <c r="B173" s="64"/>
      <c r="D173" s="66"/>
      <c r="E173" s="66"/>
      <c r="F173" s="176" t="s">
        <v>13</v>
      </c>
      <c r="G173" s="177"/>
      <c r="H173" s="178"/>
      <c r="J173" s="176" t="s">
        <v>14</v>
      </c>
      <c r="K173" s="177"/>
      <c r="L173" s="178"/>
      <c r="N173" s="176" t="s">
        <v>15</v>
      </c>
      <c r="O173" s="178"/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</row>
    <row r="174" spans="2:29" x14ac:dyDescent="0.3">
      <c r="B174" s="64"/>
      <c r="D174" s="179" t="s">
        <v>16</v>
      </c>
      <c r="E174" s="67"/>
      <c r="F174" s="68" t="s">
        <v>17</v>
      </c>
      <c r="G174" s="68" t="s">
        <v>18</v>
      </c>
      <c r="H174" s="69" t="s">
        <v>19</v>
      </c>
      <c r="J174" s="68" t="s">
        <v>17</v>
      </c>
      <c r="K174" s="70" t="s">
        <v>18</v>
      </c>
      <c r="L174" s="69" t="s">
        <v>19</v>
      </c>
      <c r="N174" s="181" t="s">
        <v>20</v>
      </c>
      <c r="O174" s="183" t="s">
        <v>21</v>
      </c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</row>
    <row r="175" spans="2:29" x14ac:dyDescent="0.3">
      <c r="B175" s="64"/>
      <c r="D175" s="180"/>
      <c r="E175" s="67"/>
      <c r="F175" s="71" t="s">
        <v>22</v>
      </c>
      <c r="G175" s="71"/>
      <c r="H175" s="72" t="s">
        <v>22</v>
      </c>
      <c r="J175" s="71" t="s">
        <v>22</v>
      </c>
      <c r="K175" s="72"/>
      <c r="L175" s="72" t="s">
        <v>22</v>
      </c>
      <c r="N175" s="182"/>
      <c r="O175" s="184"/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</row>
    <row r="176" spans="2:29" x14ac:dyDescent="0.3">
      <c r="B176" s="73" t="s">
        <v>23</v>
      </c>
      <c r="C176" s="73"/>
      <c r="D176" s="7" t="s">
        <v>24</v>
      </c>
      <c r="E176" s="73"/>
      <c r="F176" s="129">
        <v>3399.83</v>
      </c>
      <c r="G176" s="163">
        <v>1</v>
      </c>
      <c r="H176" s="75">
        <f t="shared" ref="H176:H191" si="18">G176*F176</f>
        <v>3399.83</v>
      </c>
      <c r="I176" s="76"/>
      <c r="J176" s="129">
        <v>3399.83</v>
      </c>
      <c r="K176" s="77">
        <v>1</v>
      </c>
      <c r="L176" s="75">
        <f t="shared" ref="L176:L191" si="19">K176*J176</f>
        <v>3399.83</v>
      </c>
      <c r="M176" s="76"/>
      <c r="N176" s="78">
        <f t="shared" ref="N176:N212" si="20">L176-H176</f>
        <v>0</v>
      </c>
      <c r="O176" s="79">
        <f t="shared" ref="O176:O198" si="21">IF((H176)=0,"",(N176/H176))</f>
        <v>0</v>
      </c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</row>
    <row r="177" spans="1:63" x14ac:dyDescent="0.3">
      <c r="B177" s="73" t="s">
        <v>25</v>
      </c>
      <c r="C177" s="73"/>
      <c r="D177" s="7" t="s">
        <v>24</v>
      </c>
      <c r="E177" s="73"/>
      <c r="F177" s="133"/>
      <c r="G177" s="163">
        <v>1</v>
      </c>
      <c r="H177" s="136">
        <f t="shared" si="18"/>
        <v>0</v>
      </c>
      <c r="I177" s="76"/>
      <c r="J177" s="130"/>
      <c r="K177" s="77">
        <v>1</v>
      </c>
      <c r="L177" s="136">
        <f t="shared" si="19"/>
        <v>0</v>
      </c>
      <c r="M177" s="76"/>
      <c r="N177" s="137">
        <f t="shared" si="20"/>
        <v>0</v>
      </c>
      <c r="O177" s="79" t="str">
        <f t="shared" si="21"/>
        <v/>
      </c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</row>
    <row r="178" spans="1:63" x14ac:dyDescent="0.3">
      <c r="B178" s="9"/>
      <c r="C178" s="73"/>
      <c r="D178" s="7"/>
      <c r="E178" s="73"/>
      <c r="F178" s="134"/>
      <c r="G178" s="163">
        <v>1</v>
      </c>
      <c r="H178" s="136">
        <f t="shared" si="18"/>
        <v>0</v>
      </c>
      <c r="I178" s="76"/>
      <c r="J178" s="131"/>
      <c r="K178" s="77">
        <v>1</v>
      </c>
      <c r="L178" s="136">
        <f t="shared" si="19"/>
        <v>0</v>
      </c>
      <c r="M178" s="76"/>
      <c r="N178" s="137">
        <f t="shared" si="20"/>
        <v>0</v>
      </c>
      <c r="O178" s="79" t="str">
        <f t="shared" si="21"/>
        <v/>
      </c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</row>
    <row r="179" spans="1:63" x14ac:dyDescent="0.3">
      <c r="B179" s="9"/>
      <c r="C179" s="73"/>
      <c r="D179" s="7"/>
      <c r="E179" s="73"/>
      <c r="F179" s="134"/>
      <c r="G179" s="163">
        <v>1</v>
      </c>
      <c r="H179" s="136">
        <f t="shared" si="18"/>
        <v>0</v>
      </c>
      <c r="I179" s="76"/>
      <c r="J179" s="131"/>
      <c r="K179" s="77">
        <v>1</v>
      </c>
      <c r="L179" s="136">
        <f t="shared" si="19"/>
        <v>0</v>
      </c>
      <c r="M179" s="76"/>
      <c r="N179" s="137">
        <f t="shared" si="20"/>
        <v>0</v>
      </c>
      <c r="O179" s="79" t="str">
        <f t="shared" si="21"/>
        <v/>
      </c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</row>
    <row r="180" spans="1:63" x14ac:dyDescent="0.3">
      <c r="B180" s="10"/>
      <c r="C180" s="73"/>
      <c r="D180" s="7"/>
      <c r="E180" s="73"/>
      <c r="F180" s="134"/>
      <c r="G180" s="163">
        <v>1</v>
      </c>
      <c r="H180" s="136">
        <f t="shared" si="18"/>
        <v>0</v>
      </c>
      <c r="I180" s="76"/>
      <c r="J180" s="131"/>
      <c r="K180" s="77">
        <v>1</v>
      </c>
      <c r="L180" s="136">
        <f t="shared" si="19"/>
        <v>0</v>
      </c>
      <c r="M180" s="76"/>
      <c r="N180" s="137">
        <f t="shared" si="20"/>
        <v>0</v>
      </c>
      <c r="O180" s="79" t="str">
        <f t="shared" si="21"/>
        <v/>
      </c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</row>
    <row r="181" spans="1:63" x14ac:dyDescent="0.3">
      <c r="B181" s="10"/>
      <c r="C181" s="73"/>
      <c r="D181" s="7"/>
      <c r="E181" s="73"/>
      <c r="F181" s="134"/>
      <c r="G181" s="163">
        <v>1</v>
      </c>
      <c r="H181" s="136">
        <f t="shared" si="18"/>
        <v>0</v>
      </c>
      <c r="I181" s="76"/>
      <c r="J181" s="131"/>
      <c r="K181" s="77">
        <v>1</v>
      </c>
      <c r="L181" s="136">
        <f t="shared" si="19"/>
        <v>0</v>
      </c>
      <c r="M181" s="76"/>
      <c r="N181" s="137">
        <f t="shared" si="20"/>
        <v>0</v>
      </c>
      <c r="O181" s="79" t="str">
        <f t="shared" si="21"/>
        <v/>
      </c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</row>
    <row r="182" spans="1:63" x14ac:dyDescent="0.3">
      <c r="B182" s="73" t="s">
        <v>26</v>
      </c>
      <c r="C182" s="73"/>
      <c r="D182" s="7" t="s">
        <v>67</v>
      </c>
      <c r="E182" s="73"/>
      <c r="F182" s="135">
        <v>1.8569</v>
      </c>
      <c r="G182" s="163">
        <f>$F171</f>
        <v>4000</v>
      </c>
      <c r="H182" s="136">
        <f t="shared" si="18"/>
        <v>7427.6</v>
      </c>
      <c r="I182" s="76"/>
      <c r="J182" s="132">
        <v>2.6884000000000001</v>
      </c>
      <c r="K182" s="163">
        <f>$F171</f>
        <v>4000</v>
      </c>
      <c r="L182" s="136">
        <f t="shared" si="19"/>
        <v>10753.6</v>
      </c>
      <c r="M182" s="76"/>
      <c r="N182" s="137">
        <f t="shared" si="20"/>
        <v>3326</v>
      </c>
      <c r="O182" s="79">
        <f t="shared" si="21"/>
        <v>0.44778932629651569</v>
      </c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  <c r="AA182" s="126"/>
      <c r="AB182" s="126"/>
      <c r="AC182" s="126"/>
    </row>
    <row r="183" spans="1:63" x14ac:dyDescent="0.3">
      <c r="B183" s="73" t="s">
        <v>28</v>
      </c>
      <c r="C183" s="73"/>
      <c r="D183" s="7" t="s">
        <v>24</v>
      </c>
      <c r="E183" s="73"/>
      <c r="F183" s="135"/>
      <c r="G183" s="163">
        <v>1</v>
      </c>
      <c r="H183" s="136">
        <f t="shared" si="18"/>
        <v>0</v>
      </c>
      <c r="I183" s="76"/>
      <c r="J183" s="132"/>
      <c r="K183" s="163">
        <v>1</v>
      </c>
      <c r="L183" s="136">
        <f t="shared" si="19"/>
        <v>0</v>
      </c>
      <c r="M183" s="76"/>
      <c r="N183" s="137">
        <f t="shared" si="20"/>
        <v>0</v>
      </c>
      <c r="O183" s="79" t="str">
        <f t="shared" si="21"/>
        <v/>
      </c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  <c r="AB183" s="126"/>
      <c r="AC183" s="126"/>
    </row>
    <row r="184" spans="1:63" x14ac:dyDescent="0.3">
      <c r="B184" s="73" t="s">
        <v>29</v>
      </c>
      <c r="C184" s="73"/>
      <c r="D184" s="7" t="s">
        <v>67</v>
      </c>
      <c r="E184" s="73"/>
      <c r="F184" s="135">
        <v>-1.4E-3</v>
      </c>
      <c r="G184" s="163">
        <f>$F171</f>
        <v>4000</v>
      </c>
      <c r="H184" s="136">
        <f t="shared" si="18"/>
        <v>-5.6</v>
      </c>
      <c r="I184" s="76"/>
      <c r="J184" s="171">
        <v>0</v>
      </c>
      <c r="K184" s="163">
        <f>$F171</f>
        <v>4000</v>
      </c>
      <c r="L184" s="136">
        <f t="shared" si="19"/>
        <v>0</v>
      </c>
      <c r="M184" s="76"/>
      <c r="N184" s="137">
        <f t="shared" si="20"/>
        <v>5.6</v>
      </c>
      <c r="O184" s="79">
        <f t="shared" si="21"/>
        <v>-1</v>
      </c>
      <c r="Q184" s="126"/>
      <c r="R184" s="126"/>
      <c r="S184" s="126"/>
      <c r="T184" s="126"/>
      <c r="U184" s="126"/>
      <c r="V184" s="126"/>
      <c r="W184" s="126"/>
      <c r="X184" s="126"/>
      <c r="Y184" s="126"/>
      <c r="Z184" s="126"/>
      <c r="AA184" s="126"/>
      <c r="AB184" s="126"/>
      <c r="AC184" s="126"/>
    </row>
    <row r="185" spans="1:63" x14ac:dyDescent="0.3">
      <c r="B185" s="11" t="s">
        <v>30</v>
      </c>
      <c r="C185" s="73"/>
      <c r="D185" s="7" t="s">
        <v>67</v>
      </c>
      <c r="E185" s="73"/>
      <c r="F185" s="135">
        <v>0.22309999999999999</v>
      </c>
      <c r="G185" s="163">
        <f>$F171</f>
        <v>4000</v>
      </c>
      <c r="H185" s="136">
        <f t="shared" si="18"/>
        <v>892.4</v>
      </c>
      <c r="I185" s="76"/>
      <c r="J185" s="132"/>
      <c r="K185" s="163">
        <f>$F171</f>
        <v>4000</v>
      </c>
      <c r="L185" s="136">
        <f t="shared" si="19"/>
        <v>0</v>
      </c>
      <c r="M185" s="76"/>
      <c r="N185" s="137">
        <f t="shared" si="20"/>
        <v>-892.4</v>
      </c>
      <c r="O185" s="79">
        <f t="shared" si="21"/>
        <v>-1</v>
      </c>
      <c r="Q185" s="126"/>
      <c r="R185" s="126"/>
      <c r="S185" s="126"/>
      <c r="T185" s="126"/>
      <c r="U185" s="126"/>
      <c r="V185" s="126"/>
      <c r="W185" s="126"/>
      <c r="X185" s="126"/>
      <c r="Y185" s="126"/>
      <c r="Z185" s="126"/>
      <c r="AA185" s="126"/>
      <c r="AB185" s="126"/>
      <c r="AC185" s="126"/>
    </row>
    <row r="186" spans="1:63" x14ac:dyDescent="0.3">
      <c r="B186" s="11" t="s">
        <v>31</v>
      </c>
      <c r="C186" s="73"/>
      <c r="D186" s="7" t="s">
        <v>67</v>
      </c>
      <c r="E186" s="73"/>
      <c r="F186" s="135">
        <v>-4.0500000000000001E-2</v>
      </c>
      <c r="G186" s="163">
        <f>$F171</f>
        <v>4000</v>
      </c>
      <c r="H186" s="136">
        <f t="shared" si="18"/>
        <v>-162</v>
      </c>
      <c r="I186" s="76"/>
      <c r="J186" s="132"/>
      <c r="K186" s="163">
        <f>$F171</f>
        <v>4000</v>
      </c>
      <c r="L186" s="136">
        <f t="shared" si="19"/>
        <v>0</v>
      </c>
      <c r="M186" s="76"/>
      <c r="N186" s="137">
        <f t="shared" si="20"/>
        <v>162</v>
      </c>
      <c r="O186" s="79">
        <f t="shared" si="21"/>
        <v>-1</v>
      </c>
      <c r="Q186" s="126"/>
      <c r="R186" s="126"/>
      <c r="S186" s="126"/>
      <c r="T186" s="126"/>
      <c r="U186" s="126"/>
      <c r="V186" s="126"/>
      <c r="W186" s="126"/>
      <c r="X186" s="126"/>
      <c r="Y186" s="126"/>
      <c r="Z186" s="126"/>
      <c r="AA186" s="126"/>
      <c r="AB186" s="126"/>
      <c r="AC186" s="126"/>
    </row>
    <row r="187" spans="1:63" x14ac:dyDescent="0.3">
      <c r="B187" s="11" t="s">
        <v>70</v>
      </c>
      <c r="C187" s="73"/>
      <c r="D187" s="7" t="s">
        <v>67</v>
      </c>
      <c r="E187" s="73"/>
      <c r="F187" s="135">
        <v>1.3157000000000001</v>
      </c>
      <c r="G187" s="163">
        <f>$F171</f>
        <v>4000</v>
      </c>
      <c r="H187" s="136">
        <f t="shared" si="18"/>
        <v>5262.8</v>
      </c>
      <c r="I187" s="76"/>
      <c r="J187" s="132">
        <v>-0.71440000000000003</v>
      </c>
      <c r="K187" s="163">
        <f>$F171</f>
        <v>4000</v>
      </c>
      <c r="L187" s="136">
        <f t="shared" si="19"/>
        <v>-2857.6000000000004</v>
      </c>
      <c r="M187" s="76"/>
      <c r="N187" s="137">
        <f t="shared" si="20"/>
        <v>-8120.4000000000005</v>
      </c>
      <c r="O187" s="79">
        <f t="shared" si="21"/>
        <v>-1.5429809227027438</v>
      </c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  <c r="AB187" s="126"/>
      <c r="AC187" s="126"/>
    </row>
    <row r="188" spans="1:63" x14ac:dyDescent="0.3">
      <c r="B188" s="12" t="str">
        <f>+Residential!$B$35</f>
        <v>Rate Rider for Disposition of Account 1576</v>
      </c>
      <c r="C188" s="73"/>
      <c r="D188" s="7" t="s">
        <v>67</v>
      </c>
      <c r="E188" s="73"/>
      <c r="F188" s="134"/>
      <c r="G188" s="163">
        <f>$F171</f>
        <v>4000</v>
      </c>
      <c r="H188" s="136">
        <f t="shared" si="18"/>
        <v>0</v>
      </c>
      <c r="I188" s="76"/>
      <c r="J188" s="132">
        <v>-0.25790000000000002</v>
      </c>
      <c r="K188" s="163">
        <f>$F171</f>
        <v>4000</v>
      </c>
      <c r="L188" s="136">
        <f t="shared" si="19"/>
        <v>-1031.6000000000001</v>
      </c>
      <c r="M188" s="76"/>
      <c r="N188" s="137">
        <f t="shared" si="20"/>
        <v>-1031.6000000000001</v>
      </c>
      <c r="O188" s="79" t="str">
        <f t="shared" si="21"/>
        <v/>
      </c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  <c r="AB188" s="126"/>
      <c r="AC188" s="126"/>
    </row>
    <row r="189" spans="1:63" x14ac:dyDescent="0.3">
      <c r="B189" s="12" t="str">
        <f>+Residential!$B$36</f>
        <v xml:space="preserve">Rate Rider for Disposition of CGAAP CWIP differential </v>
      </c>
      <c r="C189" s="73"/>
      <c r="D189" s="7" t="s">
        <v>67</v>
      </c>
      <c r="E189" s="73"/>
      <c r="F189" s="134"/>
      <c r="G189" s="163">
        <f>$F171</f>
        <v>4000</v>
      </c>
      <c r="H189" s="136">
        <f t="shared" si="18"/>
        <v>0</v>
      </c>
      <c r="I189" s="76"/>
      <c r="J189" s="132">
        <v>0.13930000000000001</v>
      </c>
      <c r="K189" s="163">
        <f>$F171</f>
        <v>4000</v>
      </c>
      <c r="L189" s="136">
        <f t="shared" si="19"/>
        <v>557.20000000000005</v>
      </c>
      <c r="M189" s="76"/>
      <c r="N189" s="137">
        <f t="shared" si="20"/>
        <v>557.20000000000005</v>
      </c>
      <c r="O189" s="79" t="str">
        <f t="shared" si="21"/>
        <v/>
      </c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6"/>
      <c r="AC189" s="126"/>
    </row>
    <row r="190" spans="1:63" x14ac:dyDescent="0.3">
      <c r="B190" s="12" t="str">
        <f>+Residential!$B$37</f>
        <v xml:space="preserve">Rate Rider for Disposition of Incremental Capital Expenditures </v>
      </c>
      <c r="C190" s="73"/>
      <c r="D190" s="7" t="s">
        <v>67</v>
      </c>
      <c r="E190" s="73"/>
      <c r="F190" s="131"/>
      <c r="G190" s="163">
        <f>$F171</f>
        <v>4000</v>
      </c>
      <c r="H190" s="136">
        <f t="shared" si="18"/>
        <v>0</v>
      </c>
      <c r="I190" s="76"/>
      <c r="J190" s="132">
        <v>8.3599999999999994E-2</v>
      </c>
      <c r="K190" s="163">
        <f>$F171</f>
        <v>4000</v>
      </c>
      <c r="L190" s="136">
        <f t="shared" si="19"/>
        <v>334.4</v>
      </c>
      <c r="M190" s="76"/>
      <c r="N190" s="137">
        <f t="shared" si="20"/>
        <v>334.4</v>
      </c>
      <c r="O190" s="79" t="str">
        <f t="shared" si="21"/>
        <v/>
      </c>
      <c r="Q190" s="126"/>
      <c r="R190" s="126"/>
      <c r="S190" s="126"/>
      <c r="T190" s="126"/>
      <c r="U190" s="126"/>
      <c r="V190" s="126"/>
      <c r="W190" s="126"/>
      <c r="X190" s="126"/>
      <c r="Y190" s="126"/>
      <c r="Z190" s="126"/>
      <c r="AA190" s="126"/>
      <c r="AB190" s="126"/>
      <c r="AC190" s="126"/>
    </row>
    <row r="191" spans="1:63" x14ac:dyDescent="0.3">
      <c r="B191" s="12"/>
      <c r="C191" s="73"/>
      <c r="D191" s="7"/>
      <c r="E191" s="73"/>
      <c r="F191" s="131"/>
      <c r="G191" s="163">
        <f>$F171</f>
        <v>4000</v>
      </c>
      <c r="H191" s="136">
        <f t="shared" si="18"/>
        <v>0</v>
      </c>
      <c r="I191" s="76"/>
      <c r="J191" s="131"/>
      <c r="K191" s="163">
        <f>$F171</f>
        <v>4000</v>
      </c>
      <c r="L191" s="136">
        <f t="shared" si="19"/>
        <v>0</v>
      </c>
      <c r="M191" s="76"/>
      <c r="N191" s="137">
        <f t="shared" si="20"/>
        <v>0</v>
      </c>
      <c r="O191" s="79" t="str">
        <f t="shared" si="21"/>
        <v/>
      </c>
      <c r="Q191" s="126"/>
      <c r="R191" s="126"/>
      <c r="S191" s="126"/>
      <c r="T191" s="126"/>
      <c r="U191" s="126"/>
      <c r="V191" s="126"/>
      <c r="W191" s="126"/>
      <c r="X191" s="126"/>
      <c r="Y191" s="126"/>
      <c r="Z191" s="126"/>
      <c r="AA191" s="126"/>
      <c r="AB191" s="126"/>
      <c r="AC191" s="126"/>
    </row>
    <row r="192" spans="1:63" s="4" customFormat="1" x14ac:dyDescent="0.3">
      <c r="A192" s="60"/>
      <c r="B192" s="19" t="s">
        <v>33</v>
      </c>
      <c r="C192" s="20"/>
      <c r="D192" s="20"/>
      <c r="E192" s="20"/>
      <c r="F192" s="21"/>
      <c r="G192" s="164"/>
      <c r="H192" s="23">
        <f>SUM(H176:H191)</f>
        <v>16815.03</v>
      </c>
      <c r="I192" s="13"/>
      <c r="J192" s="14"/>
      <c r="K192" s="166"/>
      <c r="L192" s="23">
        <f>SUM(L176:L191)</f>
        <v>11155.83</v>
      </c>
      <c r="M192" s="13"/>
      <c r="N192" s="15">
        <f t="shared" si="20"/>
        <v>-5659.1999999999989</v>
      </c>
      <c r="O192" s="16">
        <f t="shared" si="21"/>
        <v>-0.33655604539510187</v>
      </c>
      <c r="P192" s="60"/>
      <c r="Q192" s="126"/>
      <c r="R192" s="126"/>
      <c r="S192" s="126"/>
      <c r="T192" s="126"/>
      <c r="U192" s="126"/>
      <c r="V192" s="126"/>
      <c r="W192" s="126"/>
      <c r="X192" s="126"/>
      <c r="Y192" s="126"/>
      <c r="Z192" s="126"/>
      <c r="AA192" s="126"/>
      <c r="AB192" s="126"/>
      <c r="AC192" s="126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60"/>
      <c r="AV192" s="60"/>
      <c r="AW192" s="60"/>
      <c r="AX192" s="60"/>
      <c r="AY192" s="60"/>
      <c r="AZ192" s="60"/>
      <c r="BA192" s="60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</row>
    <row r="193" spans="1:63" x14ac:dyDescent="0.3">
      <c r="B193" s="17" t="s">
        <v>34</v>
      </c>
      <c r="C193" s="73"/>
      <c r="D193" s="7" t="s">
        <v>67</v>
      </c>
      <c r="E193" s="73"/>
      <c r="F193" s="135">
        <v>0.1113</v>
      </c>
      <c r="G193" s="163">
        <f>$F171</f>
        <v>4000</v>
      </c>
      <c r="H193" s="136">
        <f t="shared" ref="H193:H199" si="22">G193*F193</f>
        <v>445.2</v>
      </c>
      <c r="I193" s="76"/>
      <c r="J193" s="132">
        <v>-0.73419999999999996</v>
      </c>
      <c r="K193" s="163">
        <f>$F171</f>
        <v>4000</v>
      </c>
      <c r="L193" s="136">
        <f t="shared" ref="L193:L199" si="23">K193*J193</f>
        <v>-2936.7999999999997</v>
      </c>
      <c r="M193" s="76"/>
      <c r="N193" s="137">
        <f t="shared" si="20"/>
        <v>-3381.9999999999995</v>
      </c>
      <c r="O193" s="79">
        <f t="shared" si="21"/>
        <v>-7.5965858041329728</v>
      </c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6"/>
      <c r="AC193" s="126"/>
    </row>
    <row r="194" spans="1:63" x14ac:dyDescent="0.3">
      <c r="B194" s="17"/>
      <c r="C194" s="73"/>
      <c r="D194" s="7"/>
      <c r="E194" s="73"/>
      <c r="F194" s="8"/>
      <c r="G194" s="163">
        <f>$F171</f>
        <v>4000</v>
      </c>
      <c r="H194" s="136">
        <f t="shared" si="22"/>
        <v>0</v>
      </c>
      <c r="I194" s="82"/>
      <c r="J194" s="8"/>
      <c r="K194" s="163">
        <f>$F171</f>
        <v>4000</v>
      </c>
      <c r="L194" s="136">
        <f t="shared" si="23"/>
        <v>0</v>
      </c>
      <c r="M194" s="83"/>
      <c r="N194" s="137">
        <f t="shared" si="20"/>
        <v>0</v>
      </c>
      <c r="O194" s="79" t="str">
        <f t="shared" si="21"/>
        <v/>
      </c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</row>
    <row r="195" spans="1:63" x14ac:dyDescent="0.3">
      <c r="B195" s="17"/>
      <c r="C195" s="73"/>
      <c r="D195" s="7"/>
      <c r="E195" s="73"/>
      <c r="F195" s="8"/>
      <c r="G195" s="163">
        <f>$F171</f>
        <v>4000</v>
      </c>
      <c r="H195" s="136">
        <f t="shared" si="22"/>
        <v>0</v>
      </c>
      <c r="I195" s="82"/>
      <c r="J195" s="8"/>
      <c r="K195" s="163">
        <f>$F171</f>
        <v>4000</v>
      </c>
      <c r="L195" s="136">
        <f t="shared" si="23"/>
        <v>0</v>
      </c>
      <c r="M195" s="83"/>
      <c r="N195" s="137">
        <f t="shared" si="20"/>
        <v>0</v>
      </c>
      <c r="O195" s="79" t="str">
        <f t="shared" si="21"/>
        <v/>
      </c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  <c r="AB195" s="126"/>
      <c r="AC195" s="126"/>
    </row>
    <row r="196" spans="1:63" x14ac:dyDescent="0.3">
      <c r="B196" s="17"/>
      <c r="C196" s="73"/>
      <c r="D196" s="7"/>
      <c r="E196" s="73"/>
      <c r="F196" s="8"/>
      <c r="G196" s="163">
        <f>$F171</f>
        <v>4000</v>
      </c>
      <c r="H196" s="136">
        <f t="shared" si="22"/>
        <v>0</v>
      </c>
      <c r="I196" s="82"/>
      <c r="J196" s="8"/>
      <c r="K196" s="163">
        <f>$F171</f>
        <v>4000</v>
      </c>
      <c r="L196" s="136">
        <f t="shared" si="23"/>
        <v>0</v>
      </c>
      <c r="M196" s="83"/>
      <c r="N196" s="137">
        <f t="shared" si="20"/>
        <v>0</v>
      </c>
      <c r="O196" s="79" t="str">
        <f t="shared" si="21"/>
        <v/>
      </c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</row>
    <row r="197" spans="1:63" x14ac:dyDescent="0.3">
      <c r="B197" s="80" t="s">
        <v>35</v>
      </c>
      <c r="C197" s="73"/>
      <c r="D197" s="7" t="s">
        <v>67</v>
      </c>
      <c r="E197" s="73"/>
      <c r="F197" s="135">
        <v>6.3799999999999996E-2</v>
      </c>
      <c r="G197" s="163">
        <f>$F171</f>
        <v>4000</v>
      </c>
      <c r="H197" s="136">
        <f t="shared" si="22"/>
        <v>255.2</v>
      </c>
      <c r="I197" s="76"/>
      <c r="J197" s="132">
        <v>0.1313</v>
      </c>
      <c r="K197" s="163">
        <f>$F171</f>
        <v>4000</v>
      </c>
      <c r="L197" s="136">
        <f t="shared" si="23"/>
        <v>525.20000000000005</v>
      </c>
      <c r="M197" s="76"/>
      <c r="N197" s="137">
        <f t="shared" si="20"/>
        <v>270.00000000000006</v>
      </c>
      <c r="O197" s="79">
        <f t="shared" si="21"/>
        <v>1.0579937304075238</v>
      </c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</row>
    <row r="198" spans="1:63" x14ac:dyDescent="0.3">
      <c r="B198" s="80" t="s">
        <v>36</v>
      </c>
      <c r="C198" s="73"/>
      <c r="D198" s="7" t="s">
        <v>27</v>
      </c>
      <c r="E198" s="73"/>
      <c r="F198" s="138"/>
      <c r="G198" s="165">
        <f>$F172*(1+$F227)-$F172</f>
        <v>60320</v>
      </c>
      <c r="H198" s="136">
        <f t="shared" si="22"/>
        <v>0</v>
      </c>
      <c r="I198" s="76"/>
      <c r="J198" s="138"/>
      <c r="K198" s="165">
        <f>$F172*(1+$J227)-$F172</f>
        <v>60160.000000000233</v>
      </c>
      <c r="L198" s="136">
        <f t="shared" si="23"/>
        <v>0</v>
      </c>
      <c r="M198" s="76"/>
      <c r="N198" s="137">
        <f t="shared" si="20"/>
        <v>0</v>
      </c>
      <c r="O198" s="79" t="str">
        <f t="shared" si="21"/>
        <v/>
      </c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  <c r="AB198" s="126"/>
      <c r="AC198" s="126"/>
    </row>
    <row r="199" spans="1:63" x14ac:dyDescent="0.3">
      <c r="B199" s="80" t="s">
        <v>37</v>
      </c>
      <c r="C199" s="73"/>
      <c r="D199" s="7" t="s">
        <v>24</v>
      </c>
      <c r="E199" s="73"/>
      <c r="F199" s="138">
        <v>0</v>
      </c>
      <c r="G199" s="163">
        <v>1</v>
      </c>
      <c r="H199" s="136">
        <f t="shared" si="22"/>
        <v>0</v>
      </c>
      <c r="I199" s="76"/>
      <c r="J199" s="138"/>
      <c r="K199" s="167">
        <v>1</v>
      </c>
      <c r="L199" s="136">
        <f t="shared" si="23"/>
        <v>0</v>
      </c>
      <c r="M199" s="76"/>
      <c r="N199" s="137">
        <f t="shared" si="20"/>
        <v>0</v>
      </c>
      <c r="O199" s="79"/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</row>
    <row r="200" spans="1:63" s="4" customFormat="1" x14ac:dyDescent="0.3">
      <c r="A200" s="60"/>
      <c r="B200" s="19" t="s">
        <v>38</v>
      </c>
      <c r="C200" s="20"/>
      <c r="D200" s="20"/>
      <c r="E200" s="20"/>
      <c r="F200" s="21"/>
      <c r="G200" s="164"/>
      <c r="H200" s="23">
        <f>SUM(H193:H199)+H192</f>
        <v>17515.43</v>
      </c>
      <c r="I200" s="13"/>
      <c r="J200" s="22"/>
      <c r="K200" s="166"/>
      <c r="L200" s="23">
        <f>SUM(L193:L199)+L192</f>
        <v>8744.23</v>
      </c>
      <c r="M200" s="13"/>
      <c r="N200" s="15">
        <f t="shared" si="20"/>
        <v>-8771.2000000000007</v>
      </c>
      <c r="O200" s="16">
        <f t="shared" ref="O200:O212" si="24">IF((H200)=0,"",(N200/H200))</f>
        <v>-0.50076989260326465</v>
      </c>
      <c r="P200" s="60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</row>
    <row r="201" spans="1:63" x14ac:dyDescent="0.3">
      <c r="B201" s="76" t="s">
        <v>39</v>
      </c>
      <c r="C201" s="76"/>
      <c r="D201" s="25" t="s">
        <v>67</v>
      </c>
      <c r="E201" s="76"/>
      <c r="F201" s="135">
        <v>2.8561000000000001</v>
      </c>
      <c r="G201" s="165">
        <f>F171*(1+F227)</f>
        <v>4150.8</v>
      </c>
      <c r="H201" s="136">
        <f>G201*F201</f>
        <v>11855.099880000002</v>
      </c>
      <c r="I201" s="76"/>
      <c r="J201" s="135">
        <f>+$J$48</f>
        <v>2.8328000000000002</v>
      </c>
      <c r="K201" s="165">
        <f>F171*(1+J227)</f>
        <v>4150.4000000000005</v>
      </c>
      <c r="L201" s="136">
        <f>K201*J201</f>
        <v>11757.253120000003</v>
      </c>
      <c r="M201" s="76"/>
      <c r="N201" s="136">
        <f t="shared" si="20"/>
        <v>-97.84675999999854</v>
      </c>
      <c r="O201" s="79">
        <f t="shared" si="24"/>
        <v>-8.2535584676996007E-3</v>
      </c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26"/>
    </row>
    <row r="202" spans="1:63" x14ac:dyDescent="0.3">
      <c r="B202" s="85" t="s">
        <v>40</v>
      </c>
      <c r="C202" s="76"/>
      <c r="D202" s="25" t="s">
        <v>67</v>
      </c>
      <c r="E202" s="76"/>
      <c r="F202" s="135">
        <v>1.9374</v>
      </c>
      <c r="G202" s="165">
        <f>G201</f>
        <v>4150.8</v>
      </c>
      <c r="H202" s="136">
        <f>G202*F202</f>
        <v>8041.7599200000004</v>
      </c>
      <c r="I202" s="76"/>
      <c r="J202" s="135">
        <f>+$J$49</f>
        <v>1.8771</v>
      </c>
      <c r="K202" s="165">
        <f>K201</f>
        <v>4150.4000000000005</v>
      </c>
      <c r="L202" s="136">
        <f>K202*J202</f>
        <v>7790.7158400000008</v>
      </c>
      <c r="M202" s="76"/>
      <c r="N202" s="136">
        <f t="shared" si="20"/>
        <v>-251.04407999999967</v>
      </c>
      <c r="O202" s="79">
        <f t="shared" si="24"/>
        <v>-3.12175546767628E-2</v>
      </c>
      <c r="Q202" s="126"/>
      <c r="R202" s="126"/>
      <c r="S202" s="126"/>
      <c r="T202" s="126"/>
      <c r="U202" s="126"/>
      <c r="V202" s="126"/>
      <c r="W202" s="126"/>
      <c r="X202" s="126"/>
      <c r="Y202" s="126"/>
      <c r="Z202" s="126"/>
      <c r="AA202" s="126"/>
      <c r="AB202" s="126"/>
      <c r="AC202" s="126"/>
    </row>
    <row r="203" spans="1:63" s="4" customFormat="1" x14ac:dyDescent="0.3">
      <c r="A203" s="60"/>
      <c r="B203" s="19" t="s">
        <v>41</v>
      </c>
      <c r="C203" s="20"/>
      <c r="D203" s="20"/>
      <c r="E203" s="20"/>
      <c r="F203" s="21"/>
      <c r="G203" s="164"/>
      <c r="H203" s="23">
        <f>SUM(H200:H202)</f>
        <v>37412.289799999999</v>
      </c>
      <c r="I203" s="13"/>
      <c r="J203" s="26"/>
      <c r="K203" s="164"/>
      <c r="L203" s="23">
        <f>SUM(L200:L202)</f>
        <v>28292.198960000005</v>
      </c>
      <c r="M203" s="13"/>
      <c r="N203" s="15">
        <f t="shared" si="20"/>
        <v>-9120.0908399999935</v>
      </c>
      <c r="O203" s="16">
        <f t="shared" si="24"/>
        <v>-0.24377259154022682</v>
      </c>
      <c r="P203" s="60"/>
      <c r="Q203" s="126"/>
      <c r="R203" s="126"/>
      <c r="S203" s="126"/>
      <c r="T203" s="126"/>
      <c r="U203" s="126"/>
      <c r="V203" s="126"/>
      <c r="W203" s="126"/>
      <c r="X203" s="126"/>
      <c r="Y203" s="126"/>
      <c r="Z203" s="126"/>
      <c r="AA203" s="126"/>
      <c r="AB203" s="126"/>
      <c r="AC203" s="126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60"/>
      <c r="AQ203" s="60"/>
      <c r="AR203" s="60"/>
      <c r="AS203" s="60"/>
      <c r="AT203" s="60"/>
      <c r="AU203" s="60"/>
      <c r="AV203" s="60"/>
      <c r="AW203" s="60"/>
      <c r="AX203" s="60"/>
      <c r="AY203" s="60"/>
      <c r="AZ203" s="60"/>
      <c r="BA203" s="60"/>
      <c r="BB203" s="60"/>
      <c r="BC203" s="60"/>
      <c r="BD203" s="60"/>
      <c r="BE203" s="60"/>
      <c r="BF203" s="60"/>
      <c r="BG203" s="60"/>
      <c r="BH203" s="60"/>
      <c r="BI203" s="60"/>
      <c r="BJ203" s="60"/>
      <c r="BK203" s="60"/>
    </row>
    <row r="204" spans="1:63" x14ac:dyDescent="0.3">
      <c r="B204" s="86" t="s">
        <v>42</v>
      </c>
      <c r="C204" s="73"/>
      <c r="D204" s="7" t="s">
        <v>27</v>
      </c>
      <c r="E204" s="73"/>
      <c r="F204" s="135">
        <v>4.4000000000000003E-3</v>
      </c>
      <c r="G204" s="165">
        <f>F172*(1+F227)</f>
        <v>1660320</v>
      </c>
      <c r="H204" s="139">
        <f t="shared" ref="H204:H212" si="25">G204*F204</f>
        <v>7305.4080000000004</v>
      </c>
      <c r="I204" s="76"/>
      <c r="J204" s="135">
        <f>+F204</f>
        <v>4.4000000000000003E-3</v>
      </c>
      <c r="K204" s="165">
        <f>F172*(1+J227)</f>
        <v>1660160.0000000002</v>
      </c>
      <c r="L204" s="139">
        <f t="shared" ref="L204:L212" si="26">K204*J204</f>
        <v>7304.7040000000015</v>
      </c>
      <c r="M204" s="76"/>
      <c r="N204" s="137">
        <f t="shared" si="20"/>
        <v>-0.70399999999881402</v>
      </c>
      <c r="O204" s="87">
        <f t="shared" si="24"/>
        <v>-9.6366965404097069E-5</v>
      </c>
      <c r="Q204" s="126"/>
      <c r="R204" s="126"/>
      <c r="S204" s="126"/>
      <c r="T204" s="126"/>
      <c r="U204" s="126"/>
      <c r="V204" s="126"/>
      <c r="W204" s="126"/>
      <c r="X204" s="126"/>
      <c r="Y204" s="126"/>
      <c r="Z204" s="126"/>
      <c r="AA204" s="126"/>
      <c r="AB204" s="126"/>
      <c r="AC204" s="126"/>
    </row>
    <row r="205" spans="1:63" x14ac:dyDescent="0.3">
      <c r="B205" s="86" t="s">
        <v>43</v>
      </c>
      <c r="C205" s="73"/>
      <c r="D205" s="7" t="s">
        <v>27</v>
      </c>
      <c r="E205" s="73"/>
      <c r="F205" s="135">
        <v>1.1999999999999999E-3</v>
      </c>
      <c r="G205" s="165">
        <f>+G204</f>
        <v>1660320</v>
      </c>
      <c r="H205" s="139">
        <f t="shared" si="25"/>
        <v>1992.3839999999998</v>
      </c>
      <c r="I205" s="76"/>
      <c r="J205" s="135">
        <v>1.2999999999999999E-3</v>
      </c>
      <c r="K205" s="165">
        <f>+K204</f>
        <v>1660160.0000000002</v>
      </c>
      <c r="L205" s="139">
        <f t="shared" si="26"/>
        <v>2158.2080000000001</v>
      </c>
      <c r="M205" s="76"/>
      <c r="N205" s="137">
        <f t="shared" si="20"/>
        <v>165.8240000000003</v>
      </c>
      <c r="O205" s="87">
        <f t="shared" si="24"/>
        <v>8.3228935787478878E-2</v>
      </c>
      <c r="Q205" s="126"/>
      <c r="R205" s="126"/>
      <c r="S205" s="126"/>
      <c r="T205" s="126"/>
      <c r="U205" s="126"/>
      <c r="V205" s="126"/>
      <c r="W205" s="126"/>
      <c r="X205" s="126"/>
      <c r="Y205" s="126"/>
      <c r="Z205" s="126"/>
      <c r="AA205" s="126"/>
      <c r="AB205" s="126"/>
      <c r="AC205" s="126"/>
    </row>
    <row r="206" spans="1:63" x14ac:dyDescent="0.3">
      <c r="B206" s="73" t="s">
        <v>44</v>
      </c>
      <c r="C206" s="73"/>
      <c r="D206" s="7" t="s">
        <v>24</v>
      </c>
      <c r="E206" s="73"/>
      <c r="F206" s="135">
        <v>0.25</v>
      </c>
      <c r="G206" s="81">
        <v>1</v>
      </c>
      <c r="H206" s="139">
        <f t="shared" si="25"/>
        <v>0.25</v>
      </c>
      <c r="I206" s="76"/>
      <c r="J206" s="135">
        <f>+F206</f>
        <v>0.25</v>
      </c>
      <c r="K206" s="77">
        <v>1</v>
      </c>
      <c r="L206" s="139">
        <f t="shared" si="26"/>
        <v>0.25</v>
      </c>
      <c r="M206" s="76"/>
      <c r="N206" s="137">
        <f t="shared" si="20"/>
        <v>0</v>
      </c>
      <c r="O206" s="87">
        <f t="shared" si="24"/>
        <v>0</v>
      </c>
      <c r="Q206" s="126"/>
      <c r="R206" s="126"/>
      <c r="S206" s="126"/>
      <c r="T206" s="126"/>
      <c r="U206" s="126"/>
      <c r="V206" s="126"/>
      <c r="W206" s="126"/>
      <c r="X206" s="126"/>
      <c r="Y206" s="126"/>
      <c r="Z206" s="126"/>
      <c r="AA206" s="126"/>
      <c r="AB206" s="126"/>
      <c r="AC206" s="126"/>
    </row>
    <row r="207" spans="1:63" x14ac:dyDescent="0.3">
      <c r="B207" s="73" t="s">
        <v>45</v>
      </c>
      <c r="C207" s="73"/>
      <c r="D207" s="7" t="s">
        <v>27</v>
      </c>
      <c r="E207" s="73"/>
      <c r="F207" s="135">
        <v>7.0000000000000001E-3</v>
      </c>
      <c r="G207" s="84">
        <f>F172</f>
        <v>1600000</v>
      </c>
      <c r="H207" s="139">
        <f t="shared" si="25"/>
        <v>11200</v>
      </c>
      <c r="I207" s="76"/>
      <c r="J207" s="135">
        <f>+F207</f>
        <v>7.0000000000000001E-3</v>
      </c>
      <c r="K207" s="77">
        <f>F172</f>
        <v>1600000</v>
      </c>
      <c r="L207" s="139">
        <f t="shared" si="26"/>
        <v>11200</v>
      </c>
      <c r="M207" s="76"/>
      <c r="N207" s="137">
        <f t="shared" si="20"/>
        <v>0</v>
      </c>
      <c r="O207" s="87">
        <f t="shared" si="24"/>
        <v>0</v>
      </c>
      <c r="Q207" s="126"/>
      <c r="R207" s="126"/>
      <c r="S207" s="126"/>
      <c r="T207" s="126"/>
      <c r="U207" s="126"/>
      <c r="V207" s="126"/>
      <c r="W207" s="126"/>
      <c r="X207" s="126"/>
      <c r="Y207" s="126"/>
      <c r="Z207" s="126"/>
      <c r="AA207" s="126"/>
      <c r="AB207" s="126"/>
      <c r="AC207" s="126"/>
    </row>
    <row r="208" spans="1:63" x14ac:dyDescent="0.3">
      <c r="B208" s="80" t="s">
        <v>46</v>
      </c>
      <c r="C208" s="73"/>
      <c r="D208" s="7" t="s">
        <v>27</v>
      </c>
      <c r="E208" s="73"/>
      <c r="F208" s="138">
        <v>6.7000000000000004E-2</v>
      </c>
      <c r="G208" s="27">
        <f>0.64*$F172*(1+F227)</f>
        <v>1062604.8</v>
      </c>
      <c r="H208" s="139">
        <f t="shared" si="25"/>
        <v>71194.521600000007</v>
      </c>
      <c r="I208" s="76"/>
      <c r="J208" s="138">
        <v>6.7000000000000004E-2</v>
      </c>
      <c r="K208" s="27">
        <f>0.64*$F172*(1+J227)</f>
        <v>1062502.4000000001</v>
      </c>
      <c r="L208" s="139">
        <f t="shared" si="26"/>
        <v>71187.660800000012</v>
      </c>
      <c r="M208" s="76"/>
      <c r="N208" s="137">
        <f t="shared" si="20"/>
        <v>-6.8607999999949243</v>
      </c>
      <c r="O208" s="87">
        <f t="shared" si="24"/>
        <v>-9.6366965404188115E-5</v>
      </c>
      <c r="Q208" s="126"/>
      <c r="R208" s="126"/>
      <c r="S208" s="127"/>
      <c r="T208" s="126"/>
      <c r="U208" s="126"/>
      <c r="V208" s="126"/>
      <c r="W208" s="126"/>
      <c r="X208" s="126"/>
      <c r="Y208" s="126"/>
      <c r="Z208" s="126"/>
      <c r="AA208" s="126"/>
      <c r="AB208" s="126"/>
      <c r="AC208" s="126"/>
    </row>
    <row r="209" spans="1:63" x14ac:dyDescent="0.3">
      <c r="B209" s="80" t="s">
        <v>47</v>
      </c>
      <c r="C209" s="73"/>
      <c r="D209" s="7" t="s">
        <v>27</v>
      </c>
      <c r="E209" s="73"/>
      <c r="F209" s="138">
        <v>0.104</v>
      </c>
      <c r="G209" s="27">
        <f>0.18*$F172*(1+F227)</f>
        <v>298857.60000000003</v>
      </c>
      <c r="H209" s="139">
        <f t="shared" si="25"/>
        <v>31081.190400000003</v>
      </c>
      <c r="I209" s="76"/>
      <c r="J209" s="138">
        <v>0.104</v>
      </c>
      <c r="K209" s="27">
        <f>0.18*$F172*(1+J227)</f>
        <v>298828.80000000005</v>
      </c>
      <c r="L209" s="139">
        <f t="shared" si="26"/>
        <v>31078.195200000002</v>
      </c>
      <c r="M209" s="76"/>
      <c r="N209" s="137">
        <f t="shared" si="20"/>
        <v>-2.9952000000012049</v>
      </c>
      <c r="O209" s="87">
        <f t="shared" si="24"/>
        <v>-9.6366965404298175E-5</v>
      </c>
      <c r="Q209" s="126"/>
      <c r="R209" s="126"/>
      <c r="S209" s="127"/>
      <c r="T209" s="126"/>
      <c r="U209" s="126"/>
      <c r="V209" s="126"/>
      <c r="W209" s="126"/>
      <c r="X209" s="126"/>
      <c r="Y209" s="126"/>
      <c r="Z209" s="126"/>
      <c r="AA209" s="126"/>
      <c r="AB209" s="126"/>
      <c r="AC209" s="126"/>
    </row>
    <row r="210" spans="1:63" x14ac:dyDescent="0.3">
      <c r="B210" s="64" t="s">
        <v>48</v>
      </c>
      <c r="C210" s="73"/>
      <c r="D210" s="7" t="s">
        <v>27</v>
      </c>
      <c r="E210" s="73"/>
      <c r="F210" s="138">
        <v>0.124</v>
      </c>
      <c r="G210" s="27">
        <f>0.18*$F172*(1+F227)</f>
        <v>298857.60000000003</v>
      </c>
      <c r="H210" s="139">
        <f t="shared" si="25"/>
        <v>37058.342400000001</v>
      </c>
      <c r="I210" s="76"/>
      <c r="J210" s="138">
        <v>0.124</v>
      </c>
      <c r="K210" s="27">
        <f>0.18*$F172*(1+J227)</f>
        <v>298828.80000000005</v>
      </c>
      <c r="L210" s="139">
        <f t="shared" si="26"/>
        <v>37054.771200000003</v>
      </c>
      <c r="M210" s="76"/>
      <c r="N210" s="137">
        <f t="shared" si="20"/>
        <v>-3.5711999999984982</v>
      </c>
      <c r="O210" s="87">
        <f t="shared" si="24"/>
        <v>-9.6366965404218893E-5</v>
      </c>
      <c r="Q210" s="126"/>
      <c r="R210" s="126"/>
      <c r="S210" s="127"/>
      <c r="T210" s="126"/>
      <c r="U210" s="126"/>
      <c r="V210" s="126"/>
      <c r="W210" s="126"/>
      <c r="X210" s="126"/>
      <c r="Y210" s="126"/>
      <c r="Z210" s="126"/>
      <c r="AA210" s="126"/>
      <c r="AB210" s="126"/>
      <c r="AC210" s="126"/>
    </row>
    <row r="211" spans="1:63" s="92" customFormat="1" x14ac:dyDescent="0.25">
      <c r="B211" s="89" t="s">
        <v>49</v>
      </c>
      <c r="C211" s="90"/>
      <c r="D211" s="29" t="s">
        <v>27</v>
      </c>
      <c r="E211" s="90"/>
      <c r="F211" s="138">
        <v>7.4999999999999997E-2</v>
      </c>
      <c r="G211" s="30">
        <f>IF(AND($T$1=1, F172&gt;=750), 750, IF(AND($T$1=1, AND(F172&lt;750, F172&gt;=0)), F172, IF(AND($T$1=2, F172&gt;=750), 750, IF(AND($T$1=2, AND(F172&lt;750, F172&gt;=0)), F172))))*(1+F227)</f>
        <v>0</v>
      </c>
      <c r="H211" s="139">
        <f t="shared" si="25"/>
        <v>0</v>
      </c>
      <c r="I211" s="91"/>
      <c r="J211" s="138">
        <v>7.4999999999999997E-2</v>
      </c>
      <c r="K211" s="30">
        <f>IF(AND($T$1=1, J172&gt;=750), 750, IF(AND($T$1=1, AND(J172&lt;750, J172&gt;=0)), J172, IF(AND($T$1=2, J172&gt;=750), 750, IF(AND($T$1=2, AND(J172&lt;750, J172&gt;=0)), J172))))*(1+J227)</f>
        <v>0</v>
      </c>
      <c r="L211" s="139">
        <f t="shared" si="26"/>
        <v>0</v>
      </c>
      <c r="M211" s="91"/>
      <c r="N211" s="140">
        <f t="shared" si="20"/>
        <v>0</v>
      </c>
      <c r="O211" s="87" t="str">
        <f t="shared" si="24"/>
        <v/>
      </c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  <c r="AB211" s="128"/>
      <c r="AC211" s="128"/>
    </row>
    <row r="212" spans="1:63" s="92" customFormat="1" ht="15" thickBot="1" x14ac:dyDescent="0.3">
      <c r="B212" s="89" t="s">
        <v>50</v>
      </c>
      <c r="C212" s="90"/>
      <c r="D212" s="29" t="s">
        <v>27</v>
      </c>
      <c r="E212" s="90"/>
      <c r="F212" s="138">
        <v>8.7999999999999995E-2</v>
      </c>
      <c r="G212" s="30">
        <f>+F172*(1+F227)-G211</f>
        <v>1660320</v>
      </c>
      <c r="H212" s="139">
        <f t="shared" si="25"/>
        <v>146108.16</v>
      </c>
      <c r="I212" s="91"/>
      <c r="J212" s="138">
        <v>8.7999999999999995E-2</v>
      </c>
      <c r="K212" s="30">
        <f>+F172*(1+J227)-K211</f>
        <v>1660160.0000000002</v>
      </c>
      <c r="L212" s="139">
        <f t="shared" si="26"/>
        <v>146094.08000000002</v>
      </c>
      <c r="M212" s="91"/>
      <c r="N212" s="140">
        <f t="shared" si="20"/>
        <v>-14.079999999987194</v>
      </c>
      <c r="O212" s="87">
        <f t="shared" si="24"/>
        <v>-9.6366965404171771E-5</v>
      </c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</row>
    <row r="213" spans="1:63" s="4" customFormat="1" ht="15" thickBot="1" x14ac:dyDescent="0.35">
      <c r="A213" s="60"/>
      <c r="B213" s="32"/>
      <c r="C213" s="33"/>
      <c r="D213" s="124"/>
      <c r="E213" s="33"/>
      <c r="F213" s="35"/>
      <c r="G213" s="36"/>
      <c r="H213" s="122"/>
      <c r="I213" s="123"/>
      <c r="J213" s="35"/>
      <c r="K213" s="39"/>
      <c r="L213" s="122"/>
      <c r="M213" s="123"/>
      <c r="N213" s="40"/>
      <c r="O213" s="41"/>
      <c r="P213" s="60"/>
      <c r="Q213" s="126"/>
      <c r="R213" s="126"/>
      <c r="S213" s="126"/>
      <c r="T213" s="126"/>
      <c r="U213" s="126"/>
      <c r="V213" s="126"/>
      <c r="W213" s="126"/>
      <c r="X213" s="126"/>
      <c r="Y213" s="126"/>
      <c r="Z213" s="126"/>
      <c r="AA213" s="126"/>
      <c r="AB213" s="126"/>
      <c r="AC213" s="126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</row>
    <row r="214" spans="1:63" x14ac:dyDescent="0.3">
      <c r="B214" s="93" t="s">
        <v>51</v>
      </c>
      <c r="C214" s="73"/>
      <c r="D214" s="73"/>
      <c r="E214" s="73"/>
      <c r="F214" s="94"/>
      <c r="G214" s="95"/>
      <c r="H214" s="141">
        <f>SUM(H204:H210,H203)</f>
        <v>197244.38620000001</v>
      </c>
      <c r="I214" s="96"/>
      <c r="J214" s="97"/>
      <c r="K214" s="97"/>
      <c r="L214" s="144">
        <f>SUM(L204:L210,L203)</f>
        <v>188275.98816000004</v>
      </c>
      <c r="M214" s="145"/>
      <c r="N214" s="146">
        <f>L214-H214</f>
        <v>-8968.3980399999709</v>
      </c>
      <c r="O214" s="98">
        <f>IF((H214)=0,"",(N214/H214))</f>
        <v>-4.5468457748177829E-2</v>
      </c>
      <c r="Q214" s="126"/>
      <c r="R214" s="126"/>
      <c r="S214" s="127"/>
      <c r="T214" s="126"/>
      <c r="U214" s="126"/>
      <c r="V214" s="126"/>
      <c r="W214" s="126"/>
      <c r="X214" s="126"/>
      <c r="Y214" s="126"/>
      <c r="Z214" s="126"/>
      <c r="AA214" s="126"/>
      <c r="AB214" s="126"/>
      <c r="AC214" s="126"/>
    </row>
    <row r="215" spans="1:63" x14ac:dyDescent="0.3">
      <c r="B215" s="99" t="s">
        <v>52</v>
      </c>
      <c r="C215" s="73"/>
      <c r="D215" s="73"/>
      <c r="E215" s="73"/>
      <c r="F215" s="100">
        <v>0.13</v>
      </c>
      <c r="G215" s="101"/>
      <c r="H215" s="142">
        <f>H214*F215</f>
        <v>25641.770206000001</v>
      </c>
      <c r="I215" s="102"/>
      <c r="J215" s="103">
        <v>0.13</v>
      </c>
      <c r="K215" s="102"/>
      <c r="L215" s="147">
        <f>L214*J215</f>
        <v>24475.878460800006</v>
      </c>
      <c r="M215" s="148"/>
      <c r="N215" s="149">
        <f>L215-H215</f>
        <v>-1165.8917451999951</v>
      </c>
      <c r="O215" s="104">
        <f>IF((H215)=0,"",(N215/H215))</f>
        <v>-4.5468457748177787E-2</v>
      </c>
      <c r="Q215" s="126"/>
      <c r="R215" s="126"/>
      <c r="S215" s="127"/>
      <c r="T215" s="126"/>
      <c r="U215" s="126"/>
      <c r="V215" s="126"/>
      <c r="W215" s="126"/>
      <c r="X215" s="126"/>
      <c r="Y215" s="126"/>
      <c r="Z215" s="126"/>
      <c r="AA215" s="126"/>
      <c r="AB215" s="126"/>
      <c r="AC215" s="126"/>
    </row>
    <row r="216" spans="1:63" x14ac:dyDescent="0.3">
      <c r="B216" s="105" t="s">
        <v>53</v>
      </c>
      <c r="C216" s="73"/>
      <c r="D216" s="73"/>
      <c r="E216" s="73"/>
      <c r="F216" s="106"/>
      <c r="G216" s="101"/>
      <c r="H216" s="142">
        <f>H214+H215</f>
        <v>222886.15640600002</v>
      </c>
      <c r="I216" s="102"/>
      <c r="J216" s="102"/>
      <c r="K216" s="102"/>
      <c r="L216" s="147">
        <f>L214+L215</f>
        <v>212751.86662080005</v>
      </c>
      <c r="M216" s="148"/>
      <c r="N216" s="149">
        <f>L216-H216</f>
        <v>-10134.289785199973</v>
      </c>
      <c r="O216" s="104">
        <f>IF((H216)=0,"",(N216/H216))</f>
        <v>-4.5468457748177857E-2</v>
      </c>
      <c r="Q216" s="126"/>
      <c r="R216" s="126"/>
      <c r="S216" s="127"/>
      <c r="T216" s="126"/>
      <c r="U216" s="126"/>
      <c r="V216" s="126"/>
      <c r="W216" s="126"/>
      <c r="X216" s="126"/>
      <c r="Y216" s="126"/>
      <c r="Z216" s="126"/>
      <c r="AA216" s="126"/>
      <c r="AB216" s="126"/>
      <c r="AC216" s="126"/>
    </row>
    <row r="217" spans="1:63" ht="14.4" customHeight="1" x14ac:dyDescent="0.3">
      <c r="B217" s="172" t="s">
        <v>54</v>
      </c>
      <c r="C217" s="172"/>
      <c r="D217" s="172"/>
      <c r="E217" s="73"/>
      <c r="F217" s="106"/>
      <c r="G217" s="101"/>
      <c r="H217" s="143">
        <v>0</v>
      </c>
      <c r="I217" s="102"/>
      <c r="J217" s="102"/>
      <c r="K217" s="102"/>
      <c r="L217" s="150">
        <v>0</v>
      </c>
      <c r="M217" s="148"/>
      <c r="N217" s="151">
        <f>L217-H217</f>
        <v>0</v>
      </c>
      <c r="O217" s="107" t="str">
        <f>IF((H217)=0,"",(N217/H217))</f>
        <v/>
      </c>
      <c r="Q217" s="126"/>
      <c r="R217" s="126"/>
      <c r="S217" s="126"/>
      <c r="T217" s="126"/>
      <c r="U217" s="126"/>
      <c r="V217" s="126"/>
      <c r="W217" s="126"/>
      <c r="X217" s="126"/>
      <c r="Y217" s="126"/>
      <c r="Z217" s="126"/>
      <c r="AA217" s="126"/>
      <c r="AB217" s="126"/>
      <c r="AC217" s="126"/>
    </row>
    <row r="218" spans="1:63" s="4" customFormat="1" ht="15" thickBot="1" x14ac:dyDescent="0.35">
      <c r="A218" s="60"/>
      <c r="B218" s="173" t="s">
        <v>55</v>
      </c>
      <c r="C218" s="173"/>
      <c r="D218" s="173"/>
      <c r="E218" s="42"/>
      <c r="F218" s="43"/>
      <c r="G218" s="44"/>
      <c r="H218" s="45">
        <f>H216+H217</f>
        <v>222886.15640600002</v>
      </c>
      <c r="I218" s="46"/>
      <c r="J218" s="46"/>
      <c r="K218" s="46"/>
      <c r="L218" s="47">
        <f>L216+L217</f>
        <v>212751.86662080005</v>
      </c>
      <c r="M218" s="48"/>
      <c r="N218" s="49">
        <f>L218-H218</f>
        <v>-10134.289785199973</v>
      </c>
      <c r="O218" s="50">
        <f>IF((H218)=0,"",(N218/H218))</f>
        <v>-4.5468457748177857E-2</v>
      </c>
      <c r="P218" s="60"/>
      <c r="Q218" s="126"/>
      <c r="R218" s="126"/>
      <c r="S218" s="126"/>
      <c r="T218" s="126"/>
      <c r="U218" s="126"/>
      <c r="V218" s="126"/>
      <c r="W218" s="126"/>
      <c r="X218" s="126"/>
      <c r="Y218" s="126"/>
      <c r="Z218" s="126"/>
      <c r="AA218" s="126"/>
      <c r="AB218" s="126"/>
      <c r="AC218" s="126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60"/>
      <c r="AV218" s="60"/>
      <c r="AW218" s="60"/>
      <c r="AX218" s="60"/>
      <c r="AY218" s="60"/>
      <c r="AZ218" s="60"/>
      <c r="BA218" s="60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</row>
    <row r="219" spans="1:63" s="4" customFormat="1" ht="15" thickBot="1" x14ac:dyDescent="0.35">
      <c r="A219" s="60"/>
      <c r="B219" s="32"/>
      <c r="C219" s="33"/>
      <c r="D219" s="34"/>
      <c r="E219" s="33"/>
      <c r="F219" s="35"/>
      <c r="G219" s="36"/>
      <c r="H219" s="37"/>
      <c r="I219" s="38"/>
      <c r="J219" s="35"/>
      <c r="K219" s="39"/>
      <c r="L219" s="37"/>
      <c r="M219" s="123"/>
      <c r="N219" s="40"/>
      <c r="O219" s="41"/>
      <c r="P219" s="60"/>
      <c r="Q219" s="126"/>
      <c r="R219" s="126"/>
      <c r="S219" s="126"/>
      <c r="T219" s="126"/>
      <c r="U219" s="126"/>
      <c r="V219" s="126"/>
      <c r="W219" s="126"/>
      <c r="X219" s="126"/>
      <c r="Y219" s="126"/>
      <c r="Z219" s="126"/>
      <c r="AA219" s="126"/>
      <c r="AB219" s="126"/>
      <c r="AC219" s="126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</row>
    <row r="220" spans="1:63" s="92" customFormat="1" ht="13.2" x14ac:dyDescent="0.25">
      <c r="B220" s="108" t="s">
        <v>56</v>
      </c>
      <c r="C220" s="90"/>
      <c r="D220" s="90"/>
      <c r="E220" s="90"/>
      <c r="F220" s="109"/>
      <c r="G220" s="110"/>
      <c r="H220" s="152">
        <f>SUM(H211:H212,H203,H204:H207)</f>
        <v>204018.49179999999</v>
      </c>
      <c r="I220" s="111"/>
      <c r="J220" s="112"/>
      <c r="K220" s="112"/>
      <c r="L220" s="155">
        <f>SUM(L211:L212,L203,L204:L207)</f>
        <v>195049.44096000004</v>
      </c>
      <c r="M220" s="156"/>
      <c r="N220" s="157">
        <f>L220-H220</f>
        <v>-8969.0508399999526</v>
      </c>
      <c r="O220" s="98">
        <f>IF((H220)=0,"",(N220/H220))</f>
        <v>-4.3961950511781762E-2</v>
      </c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28"/>
      <c r="AB220" s="128"/>
      <c r="AC220" s="128"/>
    </row>
    <row r="221" spans="1:63" s="92" customFormat="1" ht="13.2" x14ac:dyDescent="0.25">
      <c r="B221" s="113" t="s">
        <v>52</v>
      </c>
      <c r="C221" s="90"/>
      <c r="D221" s="90"/>
      <c r="E221" s="90"/>
      <c r="F221" s="114">
        <v>0.13</v>
      </c>
      <c r="G221" s="110"/>
      <c r="H221" s="153">
        <f>H220*F221</f>
        <v>26522.403933999998</v>
      </c>
      <c r="I221" s="115"/>
      <c r="J221" s="116">
        <v>0.13</v>
      </c>
      <c r="K221" s="117"/>
      <c r="L221" s="158">
        <f>L220*J221</f>
        <v>25356.427324800006</v>
      </c>
      <c r="M221" s="159"/>
      <c r="N221" s="160">
        <f>L221-H221</f>
        <v>-1165.9766091999918</v>
      </c>
      <c r="O221" s="104">
        <f>IF((H221)=0,"",(N221/H221))</f>
        <v>-4.3961950511781686E-2</v>
      </c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  <c r="AA221" s="128"/>
      <c r="AB221" s="128"/>
      <c r="AC221" s="128"/>
    </row>
    <row r="222" spans="1:63" s="92" customFormat="1" ht="13.2" x14ac:dyDescent="0.25">
      <c r="B222" s="118" t="s">
        <v>53</v>
      </c>
      <c r="C222" s="90"/>
      <c r="D222" s="90"/>
      <c r="E222" s="90"/>
      <c r="F222" s="119"/>
      <c r="G222" s="120"/>
      <c r="H222" s="153">
        <f>H220+H221</f>
        <v>230540.89573399999</v>
      </c>
      <c r="I222" s="115"/>
      <c r="J222" s="115"/>
      <c r="K222" s="115"/>
      <c r="L222" s="158">
        <f>L220+L221</f>
        <v>220405.86828480003</v>
      </c>
      <c r="M222" s="159"/>
      <c r="N222" s="160">
        <f>L222-H222</f>
        <v>-10135.027449199959</v>
      </c>
      <c r="O222" s="104">
        <f>IF((H222)=0,"",(N222/H222))</f>
        <v>-4.3961950511781818E-2</v>
      </c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28"/>
      <c r="AB222" s="128"/>
      <c r="AC222" s="128"/>
    </row>
    <row r="223" spans="1:63" s="92" customFormat="1" ht="13.2" customHeight="1" x14ac:dyDescent="0.25">
      <c r="B223" s="174" t="s">
        <v>54</v>
      </c>
      <c r="C223" s="174"/>
      <c r="D223" s="174"/>
      <c r="E223" s="90"/>
      <c r="F223" s="119"/>
      <c r="G223" s="120"/>
      <c r="H223" s="154">
        <v>0</v>
      </c>
      <c r="I223" s="115"/>
      <c r="J223" s="115"/>
      <c r="K223" s="115"/>
      <c r="L223" s="161">
        <v>0</v>
      </c>
      <c r="M223" s="159"/>
      <c r="N223" s="162">
        <f>L223-H223</f>
        <v>0</v>
      </c>
      <c r="O223" s="107" t="str">
        <f>IF((H223)=0,"",(N223/H223))</f>
        <v/>
      </c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</row>
    <row r="224" spans="1:63" s="4" customFormat="1" ht="15" thickBot="1" x14ac:dyDescent="0.35">
      <c r="A224" s="60"/>
      <c r="B224" s="173" t="s">
        <v>57</v>
      </c>
      <c r="C224" s="173"/>
      <c r="D224" s="173"/>
      <c r="E224" s="42"/>
      <c r="F224" s="43"/>
      <c r="G224" s="44"/>
      <c r="H224" s="45">
        <f>SUM(H222:H223)</f>
        <v>230540.89573399999</v>
      </c>
      <c r="I224" s="46"/>
      <c r="J224" s="46"/>
      <c r="K224" s="46"/>
      <c r="L224" s="47">
        <f>SUM(L222:L223)</f>
        <v>220405.86828480003</v>
      </c>
      <c r="M224" s="48"/>
      <c r="N224" s="49">
        <f>L224-H224</f>
        <v>-10135.027449199959</v>
      </c>
      <c r="O224" s="50">
        <f>IF((H224)=0,"",(N224/H224))</f>
        <v>-4.3961950511781818E-2</v>
      </c>
      <c r="P224" s="60"/>
      <c r="Q224" s="126"/>
      <c r="R224" s="126"/>
      <c r="S224" s="126"/>
      <c r="T224" s="126"/>
      <c r="U224" s="126"/>
      <c r="V224" s="126"/>
      <c r="W224" s="126"/>
      <c r="X224" s="126"/>
      <c r="Y224" s="126"/>
      <c r="Z224" s="126"/>
      <c r="AA224" s="126"/>
      <c r="AB224" s="126"/>
      <c r="AC224" s="126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</row>
    <row r="225" spans="1:63" s="4" customFormat="1" ht="15" thickBot="1" x14ac:dyDescent="0.35">
      <c r="A225" s="60"/>
      <c r="B225" s="32"/>
      <c r="C225" s="33"/>
      <c r="D225" s="34"/>
      <c r="E225" s="33"/>
      <c r="F225" s="35"/>
      <c r="G225" s="36"/>
      <c r="H225" s="122"/>
      <c r="I225" s="123"/>
      <c r="J225" s="35"/>
      <c r="K225" s="39"/>
      <c r="L225" s="37"/>
      <c r="M225" s="123"/>
      <c r="N225" s="40"/>
      <c r="O225" s="41"/>
      <c r="P225" s="60"/>
      <c r="Q225" s="126"/>
      <c r="R225" s="126"/>
      <c r="S225" s="126"/>
      <c r="T225" s="126"/>
      <c r="U225" s="126"/>
      <c r="V225" s="126"/>
      <c r="W225" s="126"/>
      <c r="X225" s="126"/>
      <c r="Y225" s="126"/>
      <c r="Z225" s="126"/>
      <c r="AA225" s="126"/>
      <c r="AB225" s="126"/>
      <c r="AC225" s="126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</row>
    <row r="226" spans="1:63" x14ac:dyDescent="0.3">
      <c r="L226" s="88"/>
    </row>
    <row r="227" spans="1:63" x14ac:dyDescent="0.3">
      <c r="B227" s="65" t="s">
        <v>58</v>
      </c>
      <c r="F227" s="51">
        <v>3.7699999999999997E-2</v>
      </c>
      <c r="J227" s="51">
        <f>+Residential!$J$74</f>
        <v>3.7600000000000001E-2</v>
      </c>
    </row>
    <row r="229" spans="1:63" x14ac:dyDescent="0.3">
      <c r="L229" s="56"/>
      <c r="M229" s="56"/>
      <c r="N229" s="56"/>
      <c r="O229" s="56"/>
      <c r="P229" s="56"/>
    </row>
    <row r="230" spans="1:63" ht="16.2" x14ac:dyDescent="0.3">
      <c r="A230" s="121" t="s">
        <v>59</v>
      </c>
    </row>
    <row r="232" spans="1:63" x14ac:dyDescent="0.3">
      <c r="A232" s="60" t="s">
        <v>60</v>
      </c>
    </row>
    <row r="233" spans="1:63" x14ac:dyDescent="0.3">
      <c r="A233" s="60" t="s">
        <v>61</v>
      </c>
    </row>
    <row r="234" spans="1:63" ht="11.4" customHeight="1" x14ac:dyDescent="0.3"/>
    <row r="235" spans="1:63" ht="15.6" customHeight="1" x14ac:dyDescent="0.3">
      <c r="B235" s="60" t="s">
        <v>62</v>
      </c>
    </row>
  </sheetData>
  <mergeCells count="40">
    <mergeCell ref="B223:D223"/>
    <mergeCell ref="B224:D224"/>
    <mergeCell ref="D98:D99"/>
    <mergeCell ref="N98:N99"/>
    <mergeCell ref="O98:O99"/>
    <mergeCell ref="B142:D142"/>
    <mergeCell ref="B141:D141"/>
    <mergeCell ref="B147:D147"/>
    <mergeCell ref="B163:O163"/>
    <mergeCell ref="B164:O164"/>
    <mergeCell ref="D167:O167"/>
    <mergeCell ref="F173:H173"/>
    <mergeCell ref="J173:L173"/>
    <mergeCell ref="N173:O173"/>
    <mergeCell ref="B148:D148"/>
    <mergeCell ref="D174:D175"/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  <mergeCell ref="N174:N175"/>
    <mergeCell ref="O174:O175"/>
    <mergeCell ref="B217:D217"/>
    <mergeCell ref="B218:D218"/>
    <mergeCell ref="B87:O87"/>
    <mergeCell ref="D91:O91"/>
    <mergeCell ref="F97:H97"/>
    <mergeCell ref="J97:L97"/>
    <mergeCell ref="N97:O97"/>
    <mergeCell ref="B88:O88"/>
  </mergeCells>
  <dataValidations count="4">
    <dataValidation type="list" allowBlank="1" showInputMessage="1" showErrorMessage="1" sqref="E48:E49 E40:E46 E23:E38 E51:E57 E60 E125:E126 E117:E123 E100:E115 E128:E134 E137 E201:E202 E193:E199 E176:E191 E204:E210 E213">
      <formula1>#REF!</formula1>
    </dataValidation>
    <dataValidation type="list" allowBlank="1" showInputMessage="1" showErrorMessage="1" prompt="Select Charge Unit - monthly, per kWh, per kW" sqref="D48:D49 D40:D46 D66 D23:D38 D72 D51:D60 D125:D126 D117:D123 D143 D100:D115 D149 D128:D137 D201:D202 D193:D199 D219 D176:D191 D225 D204:D213">
      <formula1>"Monthly, per kWh, per kW"</formula1>
    </dataValidation>
    <dataValidation type="list" allowBlank="1" showInputMessage="1" showErrorMessage="1" sqref="E72 E66 E58:E59 E149 E143 E135:E136 E225 E219 E211:E212">
      <formula1>#REF!</formula1>
    </dataValidation>
    <dataValidation type="list" allowBlank="1" showInputMessage="1" showErrorMessage="1" sqref="D16 D93 D169">
      <formula1>"TOU, non-TOU"</formula1>
    </dataValidation>
  </dataValidations>
  <pageMargins left="0.7" right="0.7" top="0.75" bottom="0.75" header="0.3" footer="0.3"/>
  <pageSetup scale="48" fitToHeight="0" orientation="portrait" r:id="rId1"/>
  <rowBreaks count="2" manualBreakCount="2">
    <brk id="85" max="15" man="1"/>
    <brk id="162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87" r:id="rId4" name="Option Button 95">
              <controlPr defaultSize="0" autoFill="0" autoLine="0" autoPict="0">
                <anchor moveWithCells="1">
                  <from>
                    <xdr:col>5</xdr:col>
                    <xdr:colOff>701040</xdr:colOff>
                    <xdr:row>15</xdr:row>
                    <xdr:rowOff>7620</xdr:rowOff>
                  </from>
                  <to>
                    <xdr:col>7</xdr:col>
                    <xdr:colOff>358140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5" name="Option Button 96">
              <controlPr defaultSize="0" autoFill="0" autoLine="0" autoPict="0">
                <anchor moveWithCells="1">
                  <from>
                    <xdr:col>7</xdr:col>
                    <xdr:colOff>487680</xdr:colOff>
                    <xdr:row>15</xdr:row>
                    <xdr:rowOff>0</xdr:rowOff>
                  </from>
                  <to>
                    <xdr:col>14</xdr:col>
                    <xdr:colOff>746760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K82"/>
  <sheetViews>
    <sheetView view="pageBreakPreview" topLeftCell="A42" zoomScale="80" zoomScaleNormal="80" zoomScaleSheetLayoutView="80" workbookViewId="0">
      <selection activeCell="B480" sqref="B480:B482"/>
    </sheetView>
  </sheetViews>
  <sheetFormatPr defaultColWidth="9.109375" defaultRowHeight="14.4" x14ac:dyDescent="0.3"/>
  <cols>
    <col min="1" max="1" width="4.44140625" style="60" customWidth="1"/>
    <col min="2" max="2" width="45.33203125" style="60" customWidth="1"/>
    <col min="3" max="3" width="1.33203125" style="60" customWidth="1"/>
    <col min="4" max="4" width="11.33203125" style="60" customWidth="1"/>
    <col min="5" max="5" width="1.33203125" style="60" customWidth="1"/>
    <col min="6" max="6" width="12.33203125" style="60" customWidth="1"/>
    <col min="7" max="7" width="16.33203125" style="60" customWidth="1"/>
    <col min="8" max="8" width="16.109375" style="60" customWidth="1"/>
    <col min="9" max="9" width="2.88671875" style="60" customWidth="1"/>
    <col min="10" max="10" width="12.109375" style="60" customWidth="1"/>
    <col min="11" max="11" width="15.109375" style="60" bestFit="1" customWidth="1"/>
    <col min="12" max="12" width="16.44140625" style="60" customWidth="1"/>
    <col min="13" max="13" width="2.88671875" style="60" customWidth="1"/>
    <col min="14" max="14" width="13.5546875" style="60" bestFit="1" customWidth="1"/>
    <col min="15" max="15" width="13.6640625" style="60" customWidth="1"/>
    <col min="16" max="16" width="3.88671875" style="60" customWidth="1"/>
    <col min="17" max="19" width="9.109375" style="60"/>
    <col min="20" max="20" width="9.109375" style="60" customWidth="1"/>
    <col min="21" max="16384" width="9.109375" style="60"/>
  </cols>
  <sheetData>
    <row r="1" spans="1:20" s="53" customFormat="1" ht="9.6" hidden="1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N1" s="54" t="s">
        <v>0</v>
      </c>
      <c r="O1" s="55" t="s">
        <v>76</v>
      </c>
      <c r="P1" s="56"/>
      <c r="T1" s="53">
        <v>1</v>
      </c>
    </row>
    <row r="2" spans="1:20" s="53" customFormat="1" ht="9.6" hidden="1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N2" s="54" t="s">
        <v>1</v>
      </c>
      <c r="O2" s="2"/>
      <c r="P2" s="56"/>
    </row>
    <row r="3" spans="1:20" s="53" customFormat="1" ht="9.6" hidden="1" customHeight="1" x14ac:dyDescent="0.25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N3" s="54" t="s">
        <v>2</v>
      </c>
      <c r="O3" s="2"/>
      <c r="P3" s="56"/>
    </row>
    <row r="4" spans="1:20" s="53" customFormat="1" ht="9.6" hidden="1" customHeight="1" x14ac:dyDescent="0.25">
      <c r="A4" s="57"/>
      <c r="B4" s="57"/>
      <c r="C4" s="57"/>
      <c r="D4" s="57"/>
      <c r="E4" s="57"/>
      <c r="F4" s="57"/>
      <c r="G4" s="57"/>
      <c r="H4" s="57"/>
      <c r="I4" s="58"/>
      <c r="J4" s="58"/>
      <c r="K4" s="58"/>
      <c r="N4" s="54" t="s">
        <v>3</v>
      </c>
      <c r="O4" s="2"/>
      <c r="P4" s="56"/>
    </row>
    <row r="5" spans="1:20" s="53" customFormat="1" ht="9.6" hidden="1" customHeight="1" x14ac:dyDescent="0.25">
      <c r="C5" s="59"/>
      <c r="D5" s="59"/>
      <c r="E5" s="59"/>
      <c r="N5" s="54" t="s">
        <v>4</v>
      </c>
      <c r="O5" s="3"/>
      <c r="P5" s="56"/>
    </row>
    <row r="6" spans="1:20" s="53" customFormat="1" ht="9.6" hidden="1" customHeight="1" x14ac:dyDescent="0.25">
      <c r="N6" s="54"/>
      <c r="O6" s="1"/>
      <c r="P6" s="56"/>
    </row>
    <row r="7" spans="1:20" s="53" customFormat="1" ht="15" hidden="1" x14ac:dyDescent="0.25">
      <c r="N7" s="54" t="s">
        <v>5</v>
      </c>
      <c r="O7" s="3"/>
      <c r="P7" s="56"/>
    </row>
    <row r="8" spans="1:20" s="53" customFormat="1" ht="15" hidden="1" customHeight="1" x14ac:dyDescent="0.25">
      <c r="N8" s="60"/>
      <c r="O8" s="56"/>
      <c r="P8" s="56"/>
    </row>
    <row r="9" spans="1:20" ht="7.5" customHeight="1" x14ac:dyDescent="0.3">
      <c r="L9" s="56"/>
      <c r="M9" s="56"/>
      <c r="N9" s="56"/>
      <c r="O9" s="56"/>
      <c r="P9" s="56"/>
    </row>
    <row r="10" spans="1:20" ht="18.75" customHeight="1" x14ac:dyDescent="0.25">
      <c r="B10" s="175" t="s">
        <v>6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56"/>
    </row>
    <row r="11" spans="1:20" ht="18.75" customHeight="1" x14ac:dyDescent="0.25">
      <c r="B11" s="175" t="s">
        <v>7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56"/>
    </row>
    <row r="12" spans="1:20" ht="7.5" customHeight="1" x14ac:dyDescent="0.25">
      <c r="L12" s="56"/>
      <c r="M12" s="56"/>
      <c r="N12" s="56"/>
      <c r="O12" s="56"/>
      <c r="P12" s="56"/>
    </row>
    <row r="13" spans="1:20" ht="7.5" customHeight="1" x14ac:dyDescent="0.25">
      <c r="L13" s="56"/>
      <c r="M13" s="56"/>
      <c r="N13" s="56"/>
      <c r="O13" s="56"/>
      <c r="P13" s="56"/>
    </row>
    <row r="14" spans="1:20" ht="15.75" x14ac:dyDescent="0.25">
      <c r="B14" s="61" t="s">
        <v>8</v>
      </c>
      <c r="D14" s="185" t="s">
        <v>71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</row>
    <row r="15" spans="1:20" ht="7.5" customHeight="1" x14ac:dyDescent="0.25">
      <c r="B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20" ht="15.75" x14ac:dyDescent="0.25">
      <c r="B16" s="61" t="s">
        <v>9</v>
      </c>
      <c r="D16" s="5" t="s">
        <v>63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pans="2:29" ht="15.75" x14ac:dyDescent="0.25">
      <c r="B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2:29" x14ac:dyDescent="0.3">
      <c r="B18" s="64"/>
      <c r="D18" s="65" t="s">
        <v>11</v>
      </c>
      <c r="E18" s="65"/>
      <c r="F18" s="6">
        <f>6000</f>
        <v>6000</v>
      </c>
      <c r="G18" s="65" t="s">
        <v>64</v>
      </c>
    </row>
    <row r="19" spans="2:29" x14ac:dyDescent="0.3">
      <c r="B19" s="64"/>
      <c r="F19" s="6">
        <f>33729600/12</f>
        <v>2810800</v>
      </c>
      <c r="G19" s="65" t="s">
        <v>12</v>
      </c>
    </row>
    <row r="20" spans="2:29" ht="15" x14ac:dyDescent="0.25">
      <c r="B20" s="64"/>
      <c r="D20" s="66"/>
      <c r="E20" s="66"/>
      <c r="F20" s="176" t="s">
        <v>13</v>
      </c>
      <c r="G20" s="177"/>
      <c r="H20" s="178"/>
      <c r="J20" s="176" t="s">
        <v>14</v>
      </c>
      <c r="K20" s="177"/>
      <c r="L20" s="178"/>
      <c r="N20" s="176" t="s">
        <v>15</v>
      </c>
      <c r="O20" s="178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</row>
    <row r="21" spans="2:29" x14ac:dyDescent="0.3">
      <c r="B21" s="64"/>
      <c r="D21" s="179" t="s">
        <v>16</v>
      </c>
      <c r="E21" s="67"/>
      <c r="F21" s="68" t="s">
        <v>17</v>
      </c>
      <c r="G21" s="68" t="s">
        <v>18</v>
      </c>
      <c r="H21" s="69" t="s">
        <v>19</v>
      </c>
      <c r="J21" s="68" t="s">
        <v>17</v>
      </c>
      <c r="K21" s="70" t="s">
        <v>18</v>
      </c>
      <c r="L21" s="69" t="s">
        <v>19</v>
      </c>
      <c r="N21" s="181" t="s">
        <v>20</v>
      </c>
      <c r="O21" s="183" t="s">
        <v>21</v>
      </c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</row>
    <row r="22" spans="2:29" x14ac:dyDescent="0.3">
      <c r="B22" s="64"/>
      <c r="D22" s="180"/>
      <c r="E22" s="67"/>
      <c r="F22" s="71" t="s">
        <v>22</v>
      </c>
      <c r="G22" s="71"/>
      <c r="H22" s="72" t="s">
        <v>22</v>
      </c>
      <c r="J22" s="71" t="s">
        <v>22</v>
      </c>
      <c r="K22" s="72"/>
      <c r="L22" s="72" t="s">
        <v>22</v>
      </c>
      <c r="N22" s="182"/>
      <c r="O22" s="184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</row>
    <row r="23" spans="2:29" ht="15" x14ac:dyDescent="0.25">
      <c r="B23" s="73" t="s">
        <v>23</v>
      </c>
      <c r="C23" s="73"/>
      <c r="D23" s="7" t="s">
        <v>24</v>
      </c>
      <c r="E23" s="73"/>
      <c r="F23" s="129">
        <v>3399.83</v>
      </c>
      <c r="G23" s="74">
        <v>1</v>
      </c>
      <c r="H23" s="75">
        <f t="shared" ref="H23:H38" si="0">G23*F23</f>
        <v>3399.83</v>
      </c>
      <c r="I23" s="76"/>
      <c r="J23" s="129">
        <v>5072.12</v>
      </c>
      <c r="K23" s="77">
        <v>1</v>
      </c>
      <c r="L23" s="75">
        <f t="shared" ref="L23:L38" si="1">K23*J23</f>
        <v>5072.12</v>
      </c>
      <c r="M23" s="76"/>
      <c r="N23" s="78">
        <f t="shared" ref="N23:N59" si="2">L23-H23</f>
        <v>1672.29</v>
      </c>
      <c r="O23" s="79">
        <f t="shared" ref="O23:O45" si="3">IF((H23)=0,"",(N23/H23))</f>
        <v>0.4918745937296865</v>
      </c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</row>
    <row r="24" spans="2:29" ht="15" x14ac:dyDescent="0.25">
      <c r="B24" s="73" t="s">
        <v>25</v>
      </c>
      <c r="C24" s="73"/>
      <c r="D24" s="7" t="s">
        <v>24</v>
      </c>
      <c r="E24" s="73"/>
      <c r="F24" s="133"/>
      <c r="G24" s="74">
        <v>1</v>
      </c>
      <c r="H24" s="136">
        <f t="shared" si="0"/>
        <v>0</v>
      </c>
      <c r="I24" s="76"/>
      <c r="J24" s="130"/>
      <c r="K24" s="77">
        <v>1</v>
      </c>
      <c r="L24" s="136">
        <f t="shared" si="1"/>
        <v>0</v>
      </c>
      <c r="M24" s="76"/>
      <c r="N24" s="137">
        <f t="shared" si="2"/>
        <v>0</v>
      </c>
      <c r="O24" s="79" t="str">
        <f t="shared" si="3"/>
        <v/>
      </c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</row>
    <row r="25" spans="2:29" ht="15" x14ac:dyDescent="0.25">
      <c r="B25" s="9"/>
      <c r="C25" s="73"/>
      <c r="D25" s="7"/>
      <c r="E25" s="73"/>
      <c r="F25" s="134"/>
      <c r="G25" s="74">
        <v>1</v>
      </c>
      <c r="H25" s="136">
        <f t="shared" si="0"/>
        <v>0</v>
      </c>
      <c r="I25" s="76"/>
      <c r="J25" s="131"/>
      <c r="K25" s="77">
        <v>1</v>
      </c>
      <c r="L25" s="136">
        <f t="shared" si="1"/>
        <v>0</v>
      </c>
      <c r="M25" s="76"/>
      <c r="N25" s="137">
        <f t="shared" si="2"/>
        <v>0</v>
      </c>
      <c r="O25" s="79" t="str">
        <f t="shared" si="3"/>
        <v/>
      </c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</row>
    <row r="26" spans="2:29" ht="15" x14ac:dyDescent="0.25">
      <c r="B26" s="9"/>
      <c r="C26" s="73"/>
      <c r="D26" s="7"/>
      <c r="E26" s="73"/>
      <c r="F26" s="134"/>
      <c r="G26" s="74">
        <v>1</v>
      </c>
      <c r="H26" s="136">
        <f t="shared" si="0"/>
        <v>0</v>
      </c>
      <c r="I26" s="76"/>
      <c r="J26" s="131"/>
      <c r="K26" s="77">
        <v>1</v>
      </c>
      <c r="L26" s="136">
        <f t="shared" si="1"/>
        <v>0</v>
      </c>
      <c r="M26" s="76"/>
      <c r="N26" s="137">
        <f t="shared" si="2"/>
        <v>0</v>
      </c>
      <c r="O26" s="79" t="str">
        <f t="shared" si="3"/>
        <v/>
      </c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</row>
    <row r="27" spans="2:29" ht="15" x14ac:dyDescent="0.25">
      <c r="B27" s="10"/>
      <c r="C27" s="73"/>
      <c r="D27" s="7"/>
      <c r="E27" s="73"/>
      <c r="F27" s="134"/>
      <c r="G27" s="74">
        <v>1</v>
      </c>
      <c r="H27" s="136">
        <f t="shared" si="0"/>
        <v>0</v>
      </c>
      <c r="I27" s="76"/>
      <c r="J27" s="131"/>
      <c r="K27" s="77">
        <v>1</v>
      </c>
      <c r="L27" s="136">
        <f t="shared" si="1"/>
        <v>0</v>
      </c>
      <c r="M27" s="76"/>
      <c r="N27" s="137">
        <f t="shared" si="2"/>
        <v>0</v>
      </c>
      <c r="O27" s="79" t="str">
        <f t="shared" si="3"/>
        <v/>
      </c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</row>
    <row r="28" spans="2:29" ht="15" x14ac:dyDescent="0.25">
      <c r="B28" s="10"/>
      <c r="C28" s="73"/>
      <c r="D28" s="7"/>
      <c r="E28" s="73"/>
      <c r="F28" s="134"/>
      <c r="G28" s="74">
        <v>1</v>
      </c>
      <c r="H28" s="136">
        <f t="shared" si="0"/>
        <v>0</v>
      </c>
      <c r="I28" s="76"/>
      <c r="J28" s="131"/>
      <c r="K28" s="77">
        <v>1</v>
      </c>
      <c r="L28" s="136">
        <f t="shared" si="1"/>
        <v>0</v>
      </c>
      <c r="M28" s="76"/>
      <c r="N28" s="137">
        <f t="shared" si="2"/>
        <v>0</v>
      </c>
      <c r="O28" s="79" t="str">
        <f t="shared" si="3"/>
        <v/>
      </c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</row>
    <row r="29" spans="2:29" x14ac:dyDescent="0.3">
      <c r="B29" s="73" t="s">
        <v>26</v>
      </c>
      <c r="C29" s="73"/>
      <c r="D29" s="7" t="s">
        <v>67</v>
      </c>
      <c r="E29" s="73"/>
      <c r="F29" s="135">
        <v>1.8569</v>
      </c>
      <c r="G29" s="74">
        <f>$F$18</f>
        <v>6000</v>
      </c>
      <c r="H29" s="136">
        <f t="shared" si="0"/>
        <v>11141.4</v>
      </c>
      <c r="I29" s="76"/>
      <c r="J29" s="132">
        <v>2.7703000000000002</v>
      </c>
      <c r="K29" s="74">
        <f t="shared" ref="K29:K38" si="4">$F$18</f>
        <v>6000</v>
      </c>
      <c r="L29" s="136">
        <f t="shared" si="1"/>
        <v>16621.800000000003</v>
      </c>
      <c r="M29" s="76"/>
      <c r="N29" s="137">
        <f t="shared" si="2"/>
        <v>5480.4000000000033</v>
      </c>
      <c r="O29" s="79">
        <f t="shared" si="3"/>
        <v>0.49189509397382764</v>
      </c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</row>
    <row r="30" spans="2:29" x14ac:dyDescent="0.3">
      <c r="B30" s="73" t="s">
        <v>28</v>
      </c>
      <c r="C30" s="73"/>
      <c r="D30" s="7" t="s">
        <v>24</v>
      </c>
      <c r="E30" s="73"/>
      <c r="F30" s="135"/>
      <c r="G30" s="74">
        <v>1</v>
      </c>
      <c r="H30" s="136">
        <f t="shared" si="0"/>
        <v>0</v>
      </c>
      <c r="I30" s="76"/>
      <c r="J30" s="132"/>
      <c r="K30" s="74">
        <f t="shared" si="4"/>
        <v>6000</v>
      </c>
      <c r="L30" s="136">
        <f t="shared" si="1"/>
        <v>0</v>
      </c>
      <c r="M30" s="76"/>
      <c r="N30" s="137">
        <f t="shared" si="2"/>
        <v>0</v>
      </c>
      <c r="O30" s="79" t="str">
        <f t="shared" si="3"/>
        <v/>
      </c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</row>
    <row r="31" spans="2:29" x14ac:dyDescent="0.3">
      <c r="B31" s="73" t="s">
        <v>29</v>
      </c>
      <c r="C31" s="73"/>
      <c r="D31" s="7" t="s">
        <v>67</v>
      </c>
      <c r="E31" s="73"/>
      <c r="F31" s="135">
        <v>-1.4E-3</v>
      </c>
      <c r="G31" s="74">
        <f t="shared" ref="G31:G38" si="5">$F$18</f>
        <v>6000</v>
      </c>
      <c r="H31" s="136">
        <f t="shared" si="0"/>
        <v>-8.4</v>
      </c>
      <c r="I31" s="76"/>
      <c r="J31" s="171">
        <v>0</v>
      </c>
      <c r="K31" s="74">
        <f t="shared" si="4"/>
        <v>6000</v>
      </c>
      <c r="L31" s="136">
        <f t="shared" si="1"/>
        <v>0</v>
      </c>
      <c r="M31" s="76"/>
      <c r="N31" s="137">
        <f t="shared" si="2"/>
        <v>8.4</v>
      </c>
      <c r="O31" s="79">
        <f t="shared" si="3"/>
        <v>-1</v>
      </c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</row>
    <row r="32" spans="2:29" x14ac:dyDescent="0.3">
      <c r="B32" s="11" t="s">
        <v>30</v>
      </c>
      <c r="C32" s="73"/>
      <c r="D32" s="7" t="s">
        <v>67</v>
      </c>
      <c r="E32" s="73"/>
      <c r="F32" s="135">
        <v>0.22309999999999999</v>
      </c>
      <c r="G32" s="74">
        <f t="shared" si="5"/>
        <v>6000</v>
      </c>
      <c r="H32" s="136">
        <f t="shared" si="0"/>
        <v>1338.6</v>
      </c>
      <c r="I32" s="76"/>
      <c r="J32" s="132"/>
      <c r="K32" s="74">
        <f t="shared" si="4"/>
        <v>6000</v>
      </c>
      <c r="L32" s="136">
        <f t="shared" si="1"/>
        <v>0</v>
      </c>
      <c r="M32" s="76"/>
      <c r="N32" s="137">
        <f t="shared" si="2"/>
        <v>-1338.6</v>
      </c>
      <c r="O32" s="79">
        <f t="shared" si="3"/>
        <v>-1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</row>
    <row r="33" spans="1:63" x14ac:dyDescent="0.3">
      <c r="B33" s="11" t="s">
        <v>31</v>
      </c>
      <c r="C33" s="73"/>
      <c r="D33" s="7" t="s">
        <v>67</v>
      </c>
      <c r="E33" s="73"/>
      <c r="F33" s="135">
        <v>-4.0500000000000001E-2</v>
      </c>
      <c r="G33" s="74">
        <f t="shared" si="5"/>
        <v>6000</v>
      </c>
      <c r="H33" s="136">
        <f t="shared" si="0"/>
        <v>-243</v>
      </c>
      <c r="I33" s="76"/>
      <c r="J33" s="132"/>
      <c r="K33" s="74">
        <f t="shared" si="4"/>
        <v>6000</v>
      </c>
      <c r="L33" s="136">
        <f t="shared" si="1"/>
        <v>0</v>
      </c>
      <c r="M33" s="76"/>
      <c r="N33" s="137">
        <f t="shared" si="2"/>
        <v>243</v>
      </c>
      <c r="O33" s="79">
        <f t="shared" si="3"/>
        <v>-1</v>
      </c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</row>
    <row r="34" spans="1:63" x14ac:dyDescent="0.3">
      <c r="B34" s="11" t="s">
        <v>70</v>
      </c>
      <c r="C34" s="73"/>
      <c r="D34" s="7" t="s">
        <v>67</v>
      </c>
      <c r="E34" s="73"/>
      <c r="F34" s="135">
        <v>1.3157000000000001</v>
      </c>
      <c r="G34" s="74">
        <f t="shared" si="5"/>
        <v>6000</v>
      </c>
      <c r="H34" s="136">
        <f t="shared" si="0"/>
        <v>7894.2000000000007</v>
      </c>
      <c r="I34" s="76"/>
      <c r="J34" s="132"/>
      <c r="K34" s="74">
        <f t="shared" si="4"/>
        <v>6000</v>
      </c>
      <c r="L34" s="136">
        <f t="shared" si="1"/>
        <v>0</v>
      </c>
      <c r="M34" s="76"/>
      <c r="N34" s="137">
        <f t="shared" si="2"/>
        <v>-7894.2000000000007</v>
      </c>
      <c r="O34" s="79">
        <f t="shared" si="3"/>
        <v>-1</v>
      </c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</row>
    <row r="35" spans="1:63" x14ac:dyDescent="0.3">
      <c r="B35" s="12"/>
      <c r="C35" s="73"/>
      <c r="D35" s="7"/>
      <c r="E35" s="73"/>
      <c r="F35" s="134"/>
      <c r="G35" s="74">
        <f t="shared" si="5"/>
        <v>6000</v>
      </c>
      <c r="H35" s="136">
        <f t="shared" si="0"/>
        <v>0</v>
      </c>
      <c r="I35" s="76"/>
      <c r="J35" s="132"/>
      <c r="K35" s="74">
        <f t="shared" si="4"/>
        <v>6000</v>
      </c>
      <c r="L35" s="136">
        <f t="shared" si="1"/>
        <v>0</v>
      </c>
      <c r="M35" s="76"/>
      <c r="N35" s="137">
        <f t="shared" si="2"/>
        <v>0</v>
      </c>
      <c r="O35" s="79" t="str">
        <f t="shared" si="3"/>
        <v/>
      </c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</row>
    <row r="36" spans="1:63" x14ac:dyDescent="0.3">
      <c r="B36" s="12"/>
      <c r="C36" s="73"/>
      <c r="D36" s="7"/>
      <c r="E36" s="73"/>
      <c r="F36" s="134"/>
      <c r="G36" s="74">
        <f t="shared" si="5"/>
        <v>6000</v>
      </c>
      <c r="H36" s="136">
        <f t="shared" si="0"/>
        <v>0</v>
      </c>
      <c r="I36" s="76"/>
      <c r="J36" s="132"/>
      <c r="K36" s="74">
        <f t="shared" si="4"/>
        <v>6000</v>
      </c>
      <c r="L36" s="136">
        <f t="shared" si="1"/>
        <v>0</v>
      </c>
      <c r="M36" s="76"/>
      <c r="N36" s="137">
        <f t="shared" si="2"/>
        <v>0</v>
      </c>
      <c r="O36" s="79" t="str">
        <f t="shared" si="3"/>
        <v/>
      </c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</row>
    <row r="37" spans="1:63" x14ac:dyDescent="0.3">
      <c r="B37" s="12"/>
      <c r="C37" s="73"/>
      <c r="D37" s="7"/>
      <c r="E37" s="73"/>
      <c r="F37" s="131"/>
      <c r="G37" s="74">
        <f t="shared" si="5"/>
        <v>6000</v>
      </c>
      <c r="H37" s="136">
        <f t="shared" si="0"/>
        <v>0</v>
      </c>
      <c r="I37" s="76"/>
      <c r="J37" s="131"/>
      <c r="K37" s="74">
        <f t="shared" si="4"/>
        <v>6000</v>
      </c>
      <c r="L37" s="136">
        <f t="shared" si="1"/>
        <v>0</v>
      </c>
      <c r="M37" s="76"/>
      <c r="N37" s="137">
        <f t="shared" si="2"/>
        <v>0</v>
      </c>
      <c r="O37" s="79" t="str">
        <f t="shared" si="3"/>
        <v/>
      </c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</row>
    <row r="38" spans="1:63" x14ac:dyDescent="0.3">
      <c r="B38" s="12"/>
      <c r="C38" s="73"/>
      <c r="D38" s="7"/>
      <c r="E38" s="73"/>
      <c r="F38" s="131"/>
      <c r="G38" s="74">
        <f t="shared" si="5"/>
        <v>6000</v>
      </c>
      <c r="H38" s="136">
        <f t="shared" si="0"/>
        <v>0</v>
      </c>
      <c r="I38" s="76"/>
      <c r="J38" s="131"/>
      <c r="K38" s="74">
        <f t="shared" si="4"/>
        <v>6000</v>
      </c>
      <c r="L38" s="136">
        <f t="shared" si="1"/>
        <v>0</v>
      </c>
      <c r="M38" s="76"/>
      <c r="N38" s="137">
        <f t="shared" si="2"/>
        <v>0</v>
      </c>
      <c r="O38" s="79" t="str">
        <f t="shared" si="3"/>
        <v/>
      </c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</row>
    <row r="39" spans="1:63" s="4" customFormat="1" x14ac:dyDescent="0.3">
      <c r="A39" s="60"/>
      <c r="B39" s="19" t="s">
        <v>33</v>
      </c>
      <c r="C39" s="20"/>
      <c r="D39" s="20"/>
      <c r="E39" s="20"/>
      <c r="F39" s="21"/>
      <c r="G39" s="22"/>
      <c r="H39" s="23">
        <f>SUM(H23:H38)</f>
        <v>23522.63</v>
      </c>
      <c r="I39" s="13"/>
      <c r="J39" s="14"/>
      <c r="K39" s="24"/>
      <c r="L39" s="23">
        <f>SUM(L23:L38)</f>
        <v>21693.920000000002</v>
      </c>
      <c r="M39" s="13"/>
      <c r="N39" s="15">
        <f t="shared" si="2"/>
        <v>-1828.7099999999991</v>
      </c>
      <c r="O39" s="16">
        <f t="shared" si="3"/>
        <v>-7.7742582355799464E-2</v>
      </c>
      <c r="P39" s="60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</row>
    <row r="40" spans="1:63" x14ac:dyDescent="0.3">
      <c r="B40" s="17" t="s">
        <v>34</v>
      </c>
      <c r="C40" s="73"/>
      <c r="D40" s="7" t="s">
        <v>67</v>
      </c>
      <c r="E40" s="73"/>
      <c r="F40" s="135">
        <v>0.1113</v>
      </c>
      <c r="G40" s="74">
        <f>$F$18</f>
        <v>6000</v>
      </c>
      <c r="H40" s="136">
        <f t="shared" ref="H40:H46" si="6">G40*F40</f>
        <v>667.8</v>
      </c>
      <c r="I40" s="76"/>
      <c r="J40" s="171">
        <v>0</v>
      </c>
      <c r="K40" s="74">
        <f>$F$18</f>
        <v>6000</v>
      </c>
      <c r="L40" s="136">
        <f t="shared" ref="L40:L46" si="7">K40*J40</f>
        <v>0</v>
      </c>
      <c r="M40" s="76"/>
      <c r="N40" s="137">
        <f t="shared" si="2"/>
        <v>-667.8</v>
      </c>
      <c r="O40" s="79">
        <f t="shared" si="3"/>
        <v>-1</v>
      </c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</row>
    <row r="41" spans="1:63" x14ac:dyDescent="0.3">
      <c r="B41" s="17"/>
      <c r="C41" s="73"/>
      <c r="D41" s="7"/>
      <c r="E41" s="73"/>
      <c r="F41" s="8"/>
      <c r="G41" s="74">
        <f>$F$18</f>
        <v>6000</v>
      </c>
      <c r="H41" s="136">
        <f t="shared" si="6"/>
        <v>0</v>
      </c>
      <c r="I41" s="82"/>
      <c r="J41" s="8"/>
      <c r="K41" s="74">
        <f>$F$18</f>
        <v>6000</v>
      </c>
      <c r="L41" s="136">
        <f t="shared" si="7"/>
        <v>0</v>
      </c>
      <c r="M41" s="83"/>
      <c r="N41" s="137">
        <f t="shared" si="2"/>
        <v>0</v>
      </c>
      <c r="O41" s="79" t="str">
        <f t="shared" si="3"/>
        <v/>
      </c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</row>
    <row r="42" spans="1:63" x14ac:dyDescent="0.3">
      <c r="B42" s="17"/>
      <c r="C42" s="73"/>
      <c r="D42" s="7"/>
      <c r="E42" s="73"/>
      <c r="F42" s="8"/>
      <c r="G42" s="74">
        <f>$F$18</f>
        <v>6000</v>
      </c>
      <c r="H42" s="136">
        <f t="shared" si="6"/>
        <v>0</v>
      </c>
      <c r="I42" s="82"/>
      <c r="J42" s="8"/>
      <c r="K42" s="74">
        <f>$F$18</f>
        <v>6000</v>
      </c>
      <c r="L42" s="136">
        <f t="shared" si="7"/>
        <v>0</v>
      </c>
      <c r="M42" s="83"/>
      <c r="N42" s="137">
        <f t="shared" si="2"/>
        <v>0</v>
      </c>
      <c r="O42" s="79" t="str">
        <f t="shared" si="3"/>
        <v/>
      </c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</row>
    <row r="43" spans="1:63" x14ac:dyDescent="0.3">
      <c r="B43" s="17"/>
      <c r="C43" s="73"/>
      <c r="D43" s="7"/>
      <c r="E43" s="73"/>
      <c r="F43" s="8"/>
      <c r="G43" s="74">
        <f>$F$18</f>
        <v>6000</v>
      </c>
      <c r="H43" s="136">
        <f t="shared" si="6"/>
        <v>0</v>
      </c>
      <c r="I43" s="82"/>
      <c r="J43" s="8"/>
      <c r="K43" s="74">
        <f>$F$18</f>
        <v>6000</v>
      </c>
      <c r="L43" s="136">
        <f t="shared" si="7"/>
        <v>0</v>
      </c>
      <c r="M43" s="83"/>
      <c r="N43" s="137">
        <f t="shared" si="2"/>
        <v>0</v>
      </c>
      <c r="O43" s="79" t="str">
        <f t="shared" si="3"/>
        <v/>
      </c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</row>
    <row r="44" spans="1:63" x14ac:dyDescent="0.3">
      <c r="B44" s="80" t="s">
        <v>35</v>
      </c>
      <c r="C44" s="73"/>
      <c r="D44" s="7" t="s">
        <v>67</v>
      </c>
      <c r="E44" s="73"/>
      <c r="F44" s="135">
        <v>6.3799999999999996E-2</v>
      </c>
      <c r="G44" s="74">
        <f>$F$18</f>
        <v>6000</v>
      </c>
      <c r="H44" s="136">
        <f t="shared" si="6"/>
        <v>382.79999999999995</v>
      </c>
      <c r="I44" s="76"/>
      <c r="J44" s="171">
        <v>0.1313</v>
      </c>
      <c r="K44" s="74">
        <f>$F$18</f>
        <v>6000</v>
      </c>
      <c r="L44" s="136">
        <f t="shared" si="7"/>
        <v>787.8</v>
      </c>
      <c r="M44" s="76"/>
      <c r="N44" s="137">
        <f t="shared" si="2"/>
        <v>405</v>
      </c>
      <c r="O44" s="79">
        <f t="shared" si="3"/>
        <v>1.0579937304075235</v>
      </c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</row>
    <row r="45" spans="1:63" x14ac:dyDescent="0.3">
      <c r="B45" s="80" t="s">
        <v>36</v>
      </c>
      <c r="C45" s="73"/>
      <c r="D45" s="7" t="s">
        <v>27</v>
      </c>
      <c r="E45" s="73"/>
      <c r="F45" s="138"/>
      <c r="G45" s="18">
        <f>$F$19*(1+$F$74)-$F$19</f>
        <v>13210.759999999776</v>
      </c>
      <c r="H45" s="136">
        <f t="shared" si="6"/>
        <v>0</v>
      </c>
      <c r="I45" s="76"/>
      <c r="J45" s="138"/>
      <c r="K45" s="18">
        <f>$F$19*(1+$J$74)-$F$19</f>
        <v>12648.599999999627</v>
      </c>
      <c r="L45" s="136">
        <f t="shared" si="7"/>
        <v>0</v>
      </c>
      <c r="M45" s="76"/>
      <c r="N45" s="137">
        <f t="shared" si="2"/>
        <v>0</v>
      </c>
      <c r="O45" s="79" t="str">
        <f t="shared" si="3"/>
        <v/>
      </c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</row>
    <row r="46" spans="1:63" x14ac:dyDescent="0.3">
      <c r="B46" s="80" t="s">
        <v>37</v>
      </c>
      <c r="C46" s="73"/>
      <c r="D46" s="7" t="s">
        <v>24</v>
      </c>
      <c r="E46" s="73"/>
      <c r="F46" s="138">
        <v>0</v>
      </c>
      <c r="G46" s="74">
        <v>1</v>
      </c>
      <c r="H46" s="136">
        <f t="shared" si="6"/>
        <v>0</v>
      </c>
      <c r="I46" s="76"/>
      <c r="J46" s="138"/>
      <c r="K46" s="81">
        <v>1</v>
      </c>
      <c r="L46" s="136">
        <f t="shared" si="7"/>
        <v>0</v>
      </c>
      <c r="M46" s="76"/>
      <c r="N46" s="137">
        <f t="shared" si="2"/>
        <v>0</v>
      </c>
      <c r="O46" s="79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</row>
    <row r="47" spans="1:63" s="4" customFormat="1" x14ac:dyDescent="0.3">
      <c r="A47" s="60"/>
      <c r="B47" s="19" t="s">
        <v>38</v>
      </c>
      <c r="C47" s="20"/>
      <c r="D47" s="20"/>
      <c r="E47" s="20"/>
      <c r="F47" s="21"/>
      <c r="G47" s="22"/>
      <c r="H47" s="23">
        <f>SUM(H40:H46)+H39</f>
        <v>24573.23</v>
      </c>
      <c r="I47" s="13"/>
      <c r="J47" s="22"/>
      <c r="K47" s="24"/>
      <c r="L47" s="23">
        <f>SUM(L40:L46)+L39</f>
        <v>22481.72</v>
      </c>
      <c r="M47" s="13"/>
      <c r="N47" s="15">
        <f t="shared" si="2"/>
        <v>-2091.5099999999984</v>
      </c>
      <c r="O47" s="16">
        <f t="shared" ref="O47:O59" si="8">IF((H47)=0,"",(N47/H47))</f>
        <v>-8.5113353026850705E-2</v>
      </c>
      <c r="P47" s="60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</row>
    <row r="48" spans="1:63" x14ac:dyDescent="0.3">
      <c r="B48" s="76" t="s">
        <v>39</v>
      </c>
      <c r="C48" s="76"/>
      <c r="D48" s="25" t="s">
        <v>67</v>
      </c>
      <c r="E48" s="76"/>
      <c r="F48" s="135">
        <v>2.8561000000000001</v>
      </c>
      <c r="G48" s="18">
        <f>F18*(1+F74)</f>
        <v>6028.2</v>
      </c>
      <c r="H48" s="136">
        <f>G48*F48</f>
        <v>17217.142019999999</v>
      </c>
      <c r="I48" s="76"/>
      <c r="J48" s="135">
        <v>2.8328000000000002</v>
      </c>
      <c r="K48" s="18">
        <f>F18*(1+J74)</f>
        <v>6027</v>
      </c>
      <c r="L48" s="136">
        <f>K48*J48</f>
        <v>17073.285600000003</v>
      </c>
      <c r="M48" s="76"/>
      <c r="N48" s="136">
        <f t="shared" si="2"/>
        <v>-143.85641999999643</v>
      </c>
      <c r="O48" s="79">
        <f t="shared" si="8"/>
        <v>-8.3554180962721967E-3</v>
      </c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</row>
    <row r="49" spans="1:63" x14ac:dyDescent="0.3">
      <c r="B49" s="85" t="s">
        <v>40</v>
      </c>
      <c r="C49" s="76"/>
      <c r="D49" s="25" t="s">
        <v>67</v>
      </c>
      <c r="E49" s="76"/>
      <c r="F49" s="135">
        <v>1.9374</v>
      </c>
      <c r="G49" s="18">
        <f>G48</f>
        <v>6028.2</v>
      </c>
      <c r="H49" s="136">
        <f>G49*F49</f>
        <v>11679.034679999999</v>
      </c>
      <c r="I49" s="76"/>
      <c r="J49" s="135">
        <v>1.8771</v>
      </c>
      <c r="K49" s="18">
        <f>K48</f>
        <v>6027</v>
      </c>
      <c r="L49" s="136">
        <f>K49*J49</f>
        <v>11313.2817</v>
      </c>
      <c r="M49" s="76"/>
      <c r="N49" s="136">
        <f t="shared" si="2"/>
        <v>-365.7529799999993</v>
      </c>
      <c r="O49" s="79">
        <f t="shared" si="8"/>
        <v>-3.1317055734609682E-2</v>
      </c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</row>
    <row r="50" spans="1:63" s="4" customFormat="1" x14ac:dyDescent="0.3">
      <c r="A50" s="60"/>
      <c r="B50" s="19" t="s">
        <v>41</v>
      </c>
      <c r="C50" s="20"/>
      <c r="D50" s="20"/>
      <c r="E50" s="20"/>
      <c r="F50" s="21"/>
      <c r="G50" s="22"/>
      <c r="H50" s="23">
        <f>SUM(H47:H49)</f>
        <v>53469.406699999992</v>
      </c>
      <c r="I50" s="13"/>
      <c r="J50" s="26"/>
      <c r="K50" s="22"/>
      <c r="L50" s="23">
        <f>SUM(L47:L49)</f>
        <v>50868.287300000004</v>
      </c>
      <c r="M50" s="13"/>
      <c r="N50" s="15">
        <f t="shared" si="2"/>
        <v>-2601.1193999999887</v>
      </c>
      <c r="O50" s="16">
        <f t="shared" si="8"/>
        <v>-4.8646872305766378E-2</v>
      </c>
      <c r="P50" s="60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</row>
    <row r="51" spans="1:63" x14ac:dyDescent="0.3">
      <c r="B51" s="86" t="s">
        <v>42</v>
      </c>
      <c r="C51" s="73"/>
      <c r="D51" s="7" t="s">
        <v>27</v>
      </c>
      <c r="E51" s="73"/>
      <c r="F51" s="135">
        <v>4.4000000000000003E-3</v>
      </c>
      <c r="G51" s="18">
        <f>F19*(1+F74)</f>
        <v>2824010.76</v>
      </c>
      <c r="H51" s="139">
        <f t="shared" ref="H51:H59" si="9">G51*F51</f>
        <v>12425.647343999999</v>
      </c>
      <c r="I51" s="76"/>
      <c r="J51" s="135">
        <f>+F51</f>
        <v>4.4000000000000003E-3</v>
      </c>
      <c r="K51" s="18">
        <f>F19*(1+J74)</f>
        <v>2823448.5999999996</v>
      </c>
      <c r="L51" s="139">
        <f t="shared" ref="L51:L59" si="10">K51*J51</f>
        <v>12423.173839999999</v>
      </c>
      <c r="M51" s="76"/>
      <c r="N51" s="137">
        <f t="shared" si="2"/>
        <v>-2.4735039999995934</v>
      </c>
      <c r="O51" s="87">
        <f t="shared" si="8"/>
        <v>-1.9906439733250437E-4</v>
      </c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</row>
    <row r="52" spans="1:63" x14ac:dyDescent="0.3">
      <c r="B52" s="86" t="s">
        <v>43</v>
      </c>
      <c r="C52" s="73"/>
      <c r="D52" s="7" t="s">
        <v>27</v>
      </c>
      <c r="E52" s="73"/>
      <c r="F52" s="135">
        <v>1.1999999999999999E-3</v>
      </c>
      <c r="G52" s="18">
        <f>+G51</f>
        <v>2824010.76</v>
      </c>
      <c r="H52" s="139">
        <f t="shared" si="9"/>
        <v>3388.8129119999994</v>
      </c>
      <c r="I52" s="76"/>
      <c r="J52" s="135">
        <v>1.2999999999999999E-3</v>
      </c>
      <c r="K52" s="18">
        <f>+K51</f>
        <v>2823448.5999999996</v>
      </c>
      <c r="L52" s="139">
        <f t="shared" si="10"/>
        <v>3670.4831799999993</v>
      </c>
      <c r="M52" s="76"/>
      <c r="N52" s="137">
        <f t="shared" si="2"/>
        <v>281.67026799999985</v>
      </c>
      <c r="O52" s="87">
        <f t="shared" si="8"/>
        <v>8.3117680236223054E-2</v>
      </c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</row>
    <row r="53" spans="1:63" x14ac:dyDescent="0.3">
      <c r="B53" s="73" t="s">
        <v>44</v>
      </c>
      <c r="C53" s="73"/>
      <c r="D53" s="7" t="s">
        <v>24</v>
      </c>
      <c r="E53" s="73"/>
      <c r="F53" s="135">
        <v>0.25</v>
      </c>
      <c r="G53" s="81">
        <v>1</v>
      </c>
      <c r="H53" s="139">
        <f t="shared" si="9"/>
        <v>0.25</v>
      </c>
      <c r="I53" s="76"/>
      <c r="J53" s="135">
        <f>+F53</f>
        <v>0.25</v>
      </c>
      <c r="K53" s="77">
        <v>1</v>
      </c>
      <c r="L53" s="139">
        <f t="shared" si="10"/>
        <v>0.25</v>
      </c>
      <c r="M53" s="76"/>
      <c r="N53" s="137">
        <f t="shared" si="2"/>
        <v>0</v>
      </c>
      <c r="O53" s="87">
        <f t="shared" si="8"/>
        <v>0</v>
      </c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</row>
    <row r="54" spans="1:63" x14ac:dyDescent="0.3">
      <c r="B54" s="73" t="s">
        <v>45</v>
      </c>
      <c r="C54" s="73"/>
      <c r="D54" s="7" t="s">
        <v>27</v>
      </c>
      <c r="E54" s="73"/>
      <c r="F54" s="135"/>
      <c r="G54" s="84">
        <f>F19</f>
        <v>2810800</v>
      </c>
      <c r="H54" s="139">
        <f t="shared" si="9"/>
        <v>0</v>
      </c>
      <c r="I54" s="76"/>
      <c r="J54" s="135"/>
      <c r="K54" s="77">
        <f>F19</f>
        <v>2810800</v>
      </c>
      <c r="L54" s="139">
        <f t="shared" si="10"/>
        <v>0</v>
      </c>
      <c r="M54" s="76"/>
      <c r="N54" s="137">
        <f t="shared" si="2"/>
        <v>0</v>
      </c>
      <c r="O54" s="87" t="str">
        <f t="shared" si="8"/>
        <v/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</row>
    <row r="55" spans="1:63" x14ac:dyDescent="0.3">
      <c r="B55" s="80" t="s">
        <v>46</v>
      </c>
      <c r="C55" s="73"/>
      <c r="D55" s="7" t="s">
        <v>27</v>
      </c>
      <c r="E55" s="73"/>
      <c r="F55" s="138">
        <v>6.7000000000000004E-2</v>
      </c>
      <c r="G55" s="27">
        <f>0.64*$F19*(1+F74)</f>
        <v>1807366.8864</v>
      </c>
      <c r="H55" s="139">
        <f t="shared" si="9"/>
        <v>121093.5813888</v>
      </c>
      <c r="I55" s="76"/>
      <c r="J55" s="138">
        <v>6.7000000000000004E-2</v>
      </c>
      <c r="K55" s="27">
        <f>0.64*$F19*(1+J74)</f>
        <v>1807007.1039999998</v>
      </c>
      <c r="L55" s="139">
        <f>K55*J55</f>
        <v>121069.475968</v>
      </c>
      <c r="M55" s="76"/>
      <c r="N55" s="137">
        <f t="shared" si="2"/>
        <v>-24.105420799998683</v>
      </c>
      <c r="O55" s="87">
        <f t="shared" si="8"/>
        <v>-1.9906439733252619E-4</v>
      </c>
      <c r="Q55" s="126"/>
      <c r="R55" s="126"/>
      <c r="S55" s="127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</row>
    <row r="56" spans="1:63" x14ac:dyDescent="0.3">
      <c r="B56" s="80" t="s">
        <v>47</v>
      </c>
      <c r="C56" s="73"/>
      <c r="D56" s="7" t="s">
        <v>27</v>
      </c>
      <c r="E56" s="73"/>
      <c r="F56" s="138">
        <v>0.104</v>
      </c>
      <c r="G56" s="27">
        <f>0.18*$F19*(1+F74)</f>
        <v>508321.93679999997</v>
      </c>
      <c r="H56" s="139">
        <f t="shared" si="9"/>
        <v>52865.481427199993</v>
      </c>
      <c r="I56" s="76"/>
      <c r="J56" s="138">
        <v>0.104</v>
      </c>
      <c r="K56" s="27">
        <f>0.18*$F19*(1+J74)</f>
        <v>508220.74799999996</v>
      </c>
      <c r="L56" s="139">
        <f t="shared" si="10"/>
        <v>52854.957791999994</v>
      </c>
      <c r="M56" s="76"/>
      <c r="N56" s="137">
        <f t="shared" si="2"/>
        <v>-10.523635199999262</v>
      </c>
      <c r="O56" s="87">
        <f t="shared" si="8"/>
        <v>-1.9906439733252316E-4</v>
      </c>
      <c r="Q56" s="126"/>
      <c r="R56" s="126"/>
      <c r="S56" s="127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</row>
    <row r="57" spans="1:63" x14ac:dyDescent="0.3">
      <c r="B57" s="64" t="s">
        <v>48</v>
      </c>
      <c r="C57" s="73"/>
      <c r="D57" s="7" t="s">
        <v>27</v>
      </c>
      <c r="E57" s="73"/>
      <c r="F57" s="138">
        <v>0.124</v>
      </c>
      <c r="G57" s="27">
        <f>0.18*$F19*(1+F74)</f>
        <v>508321.93679999997</v>
      </c>
      <c r="H57" s="139">
        <f t="shared" si="9"/>
        <v>63031.920163199997</v>
      </c>
      <c r="I57" s="76"/>
      <c r="J57" s="138">
        <v>0.124</v>
      </c>
      <c r="K57" s="27">
        <f>0.18*$F19*(1+J74)</f>
        <v>508220.74799999996</v>
      </c>
      <c r="L57" s="139">
        <f t="shared" si="10"/>
        <v>63019.372751999996</v>
      </c>
      <c r="M57" s="76"/>
      <c r="N57" s="137">
        <f t="shared" si="2"/>
        <v>-12.547411200001079</v>
      </c>
      <c r="O57" s="87">
        <f t="shared" si="8"/>
        <v>-1.9906439733255422E-4</v>
      </c>
      <c r="Q57" s="126"/>
      <c r="R57" s="126"/>
      <c r="S57" s="127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</row>
    <row r="58" spans="1:63" s="92" customFormat="1" x14ac:dyDescent="0.25">
      <c r="B58" s="89" t="s">
        <v>49</v>
      </c>
      <c r="C58" s="90"/>
      <c r="D58" s="29" t="s">
        <v>27</v>
      </c>
      <c r="E58" s="90"/>
      <c r="F58" s="138">
        <v>7.4999999999999997E-2</v>
      </c>
      <c r="G58" s="30">
        <f>IF(AND($T$1=1, F19&gt;=750), 750, IF(AND($T$1=1, AND(F19&lt;750, F19&gt;=0)), F19, IF(AND($T$1=2, F19&gt;=750), 750, IF(AND($T$1=2, AND(F19&lt;750, F19&gt;=0)), F19))))*(1+F74)</f>
        <v>753.52499999999998</v>
      </c>
      <c r="H58" s="139">
        <f t="shared" si="9"/>
        <v>56.514374999999994</v>
      </c>
      <c r="I58" s="91"/>
      <c r="J58" s="138">
        <v>7.4999999999999997E-2</v>
      </c>
      <c r="K58" s="30">
        <f>IF(AND($T$1=1, F19&gt;=750), 750, IF(AND($T$1=1, AND(F19&lt;750, F19&gt;=0)), F19, IF(AND($T$1=2,FJ19&gt;=750), 750, IF(AND($T$1=2, AND(F19&lt;750, F19&gt;=0)), F19))))*(1+J74)</f>
        <v>753.375</v>
      </c>
      <c r="L58" s="139">
        <f t="shared" si="10"/>
        <v>56.503124999999997</v>
      </c>
      <c r="M58" s="91"/>
      <c r="N58" s="140">
        <f t="shared" si="2"/>
        <v>-1.1249999999996874E-2</v>
      </c>
      <c r="O58" s="87">
        <f t="shared" si="8"/>
        <v>-1.9906439733248177E-4</v>
      </c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</row>
    <row r="59" spans="1:63" s="92" customFormat="1" ht="15" thickBot="1" x14ac:dyDescent="0.3">
      <c r="B59" s="89" t="s">
        <v>50</v>
      </c>
      <c r="C59" s="90"/>
      <c r="D59" s="29" t="s">
        <v>27</v>
      </c>
      <c r="E59" s="90"/>
      <c r="F59" s="138">
        <v>8.7999999999999995E-2</v>
      </c>
      <c r="G59" s="30">
        <f>+F19*(1+F74)-G58</f>
        <v>2823257.2349999999</v>
      </c>
      <c r="H59" s="139">
        <f t="shared" si="9"/>
        <v>248446.63667999997</v>
      </c>
      <c r="I59" s="91"/>
      <c r="J59" s="138">
        <v>8.7999999999999995E-2</v>
      </c>
      <c r="K59" s="30">
        <f>+F19*(1+J74)-K58</f>
        <v>2822695.2249999996</v>
      </c>
      <c r="L59" s="139">
        <f t="shared" si="10"/>
        <v>248397.17979999995</v>
      </c>
      <c r="M59" s="91"/>
      <c r="N59" s="140">
        <f t="shared" si="2"/>
        <v>-49.456880000012461</v>
      </c>
      <c r="O59" s="87">
        <f t="shared" si="8"/>
        <v>-1.9906439733258726E-4</v>
      </c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</row>
    <row r="60" spans="1:63" s="4" customFormat="1" ht="15" thickBot="1" x14ac:dyDescent="0.35">
      <c r="A60" s="60"/>
      <c r="B60" s="32"/>
      <c r="C60" s="33"/>
      <c r="D60" s="124"/>
      <c r="E60" s="33"/>
      <c r="F60" s="35"/>
      <c r="G60" s="36"/>
      <c r="H60" s="122"/>
      <c r="I60" s="123"/>
      <c r="J60" s="35"/>
      <c r="K60" s="39"/>
      <c r="L60" s="122"/>
      <c r="M60" s="123"/>
      <c r="N60" s="40"/>
      <c r="O60" s="41"/>
      <c r="P60" s="60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</row>
    <row r="61" spans="1:63" x14ac:dyDescent="0.3">
      <c r="B61" s="93" t="s">
        <v>51</v>
      </c>
      <c r="C61" s="73"/>
      <c r="D61" s="73"/>
      <c r="E61" s="73"/>
      <c r="F61" s="94"/>
      <c r="G61" s="95"/>
      <c r="H61" s="141">
        <f>SUM(H51:H57,H50)</f>
        <v>306275.09993519995</v>
      </c>
      <c r="I61" s="96"/>
      <c r="J61" s="97"/>
      <c r="K61" s="97"/>
      <c r="L61" s="144">
        <f>SUM(L51:L57,L50)</f>
        <v>303906.00083199999</v>
      </c>
      <c r="M61" s="145"/>
      <c r="N61" s="146">
        <f>L61-H61</f>
        <v>-2369.0991031999583</v>
      </c>
      <c r="O61" s="98">
        <f>IF((H61)=0,"",(N61/H61))</f>
        <v>-7.7351998373396975E-3</v>
      </c>
      <c r="Q61" s="126"/>
      <c r="R61" s="126"/>
      <c r="S61" s="127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</row>
    <row r="62" spans="1:63" x14ac:dyDescent="0.3">
      <c r="B62" s="99" t="s">
        <v>52</v>
      </c>
      <c r="C62" s="73"/>
      <c r="D62" s="73"/>
      <c r="E62" s="73"/>
      <c r="F62" s="100">
        <v>0.13</v>
      </c>
      <c r="G62" s="101"/>
      <c r="H62" s="142">
        <f>H61*F62</f>
        <v>39815.762991575997</v>
      </c>
      <c r="I62" s="102"/>
      <c r="J62" s="103">
        <v>0.13</v>
      </c>
      <c r="K62" s="102"/>
      <c r="L62" s="147">
        <f>L61*J62</f>
        <v>39507.780108159997</v>
      </c>
      <c r="M62" s="148"/>
      <c r="N62" s="149">
        <f>L62-H62</f>
        <v>-307.98288341599982</v>
      </c>
      <c r="O62" s="104">
        <f>IF((H62)=0,"",(N62/H62))</f>
        <v>-7.7351998373398284E-3</v>
      </c>
      <c r="Q62" s="126"/>
      <c r="R62" s="126"/>
      <c r="S62" s="127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</row>
    <row r="63" spans="1:63" x14ac:dyDescent="0.3">
      <c r="B63" s="105" t="s">
        <v>53</v>
      </c>
      <c r="C63" s="73"/>
      <c r="D63" s="73"/>
      <c r="E63" s="73"/>
      <c r="F63" s="106"/>
      <c r="G63" s="101"/>
      <c r="H63" s="142">
        <f>H61+H62</f>
        <v>346090.86292677594</v>
      </c>
      <c r="I63" s="102"/>
      <c r="J63" s="102"/>
      <c r="K63" s="102"/>
      <c r="L63" s="147">
        <f>L61+L62</f>
        <v>343413.78094015998</v>
      </c>
      <c r="M63" s="148"/>
      <c r="N63" s="149">
        <f>L63-H63</f>
        <v>-2677.0819866159582</v>
      </c>
      <c r="O63" s="104">
        <f>IF((H63)=0,"",(N63/H63))</f>
        <v>-7.7351998373397131E-3</v>
      </c>
      <c r="Q63" s="126"/>
      <c r="R63" s="126"/>
      <c r="S63" s="127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</row>
    <row r="64" spans="1:63" ht="14.4" customHeight="1" x14ac:dyDescent="0.3">
      <c r="B64" s="172" t="s">
        <v>54</v>
      </c>
      <c r="C64" s="172"/>
      <c r="D64" s="172"/>
      <c r="E64" s="73"/>
      <c r="F64" s="106"/>
      <c r="G64" s="101"/>
      <c r="H64" s="143">
        <v>0</v>
      </c>
      <c r="I64" s="102"/>
      <c r="J64" s="102"/>
      <c r="K64" s="102"/>
      <c r="L64" s="150">
        <v>0</v>
      </c>
      <c r="M64" s="148"/>
      <c r="N64" s="151">
        <f>L64-H64</f>
        <v>0</v>
      </c>
      <c r="O64" s="107" t="str">
        <f>IF((H64)=0,"",(N64/H64))</f>
        <v/>
      </c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</row>
    <row r="65" spans="1:63" s="4" customFormat="1" ht="15" thickBot="1" x14ac:dyDescent="0.35">
      <c r="A65" s="60"/>
      <c r="B65" s="173" t="s">
        <v>55</v>
      </c>
      <c r="C65" s="173"/>
      <c r="D65" s="173"/>
      <c r="E65" s="42"/>
      <c r="F65" s="43"/>
      <c r="G65" s="44"/>
      <c r="H65" s="45">
        <f>H63+H64</f>
        <v>346090.86292677594</v>
      </c>
      <c r="I65" s="46"/>
      <c r="J65" s="46"/>
      <c r="K65" s="46"/>
      <c r="L65" s="47">
        <f>L63+L64</f>
        <v>343413.78094015998</v>
      </c>
      <c r="M65" s="48"/>
      <c r="N65" s="49">
        <f>L65-H65</f>
        <v>-2677.0819866159582</v>
      </c>
      <c r="O65" s="50">
        <f>IF((H65)=0,"",(N65/H65))</f>
        <v>-7.7351998373397131E-3</v>
      </c>
      <c r="P65" s="60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</row>
    <row r="66" spans="1:63" s="4" customFormat="1" ht="15" thickBot="1" x14ac:dyDescent="0.35">
      <c r="A66" s="60"/>
      <c r="B66" s="32"/>
      <c r="C66" s="33"/>
      <c r="D66" s="34"/>
      <c r="E66" s="33"/>
      <c r="F66" s="35"/>
      <c r="G66" s="36"/>
      <c r="H66" s="37"/>
      <c r="I66" s="38"/>
      <c r="J66" s="35"/>
      <c r="K66" s="39"/>
      <c r="L66" s="37"/>
      <c r="M66" s="123"/>
      <c r="N66" s="40"/>
      <c r="O66" s="41"/>
      <c r="P66" s="60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</row>
    <row r="67" spans="1:63" s="92" customFormat="1" ht="13.2" x14ac:dyDescent="0.25">
      <c r="B67" s="108" t="s">
        <v>56</v>
      </c>
      <c r="C67" s="90"/>
      <c r="D67" s="90"/>
      <c r="E67" s="90"/>
      <c r="F67" s="109"/>
      <c r="G67" s="110"/>
      <c r="H67" s="152">
        <f>SUM(H58:H59,H50,H51:H54)</f>
        <v>317787.26801099995</v>
      </c>
      <c r="I67" s="111"/>
      <c r="J67" s="112"/>
      <c r="K67" s="112"/>
      <c r="L67" s="155">
        <f>SUM(L58:L59,L50,L51:L54)</f>
        <v>315415.87724499992</v>
      </c>
      <c r="M67" s="156"/>
      <c r="N67" s="157">
        <f>L67-H67</f>
        <v>-2371.3907660000259</v>
      </c>
      <c r="O67" s="98">
        <f>IF((H67)=0,"",(N67/H67))</f>
        <v>-7.4621956406319655E-3</v>
      </c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63" s="92" customFormat="1" ht="13.2" x14ac:dyDescent="0.25">
      <c r="B68" s="113" t="s">
        <v>52</v>
      </c>
      <c r="C68" s="90"/>
      <c r="D68" s="90"/>
      <c r="E68" s="90"/>
      <c r="F68" s="114">
        <v>0.13</v>
      </c>
      <c r="G68" s="110"/>
      <c r="H68" s="153">
        <f>H67*F68</f>
        <v>41312.344841429993</v>
      </c>
      <c r="I68" s="115"/>
      <c r="J68" s="116">
        <v>0.13</v>
      </c>
      <c r="K68" s="117"/>
      <c r="L68" s="158">
        <f>L67*J68</f>
        <v>41004.06404184999</v>
      </c>
      <c r="M68" s="159"/>
      <c r="N68" s="160">
        <f>L68-H68</f>
        <v>-308.28079958000308</v>
      </c>
      <c r="O68" s="104">
        <f>IF((H68)=0,"",(N68/H68))</f>
        <v>-7.4621956406319585E-3</v>
      </c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63" s="92" customFormat="1" ht="13.2" x14ac:dyDescent="0.25">
      <c r="B69" s="118" t="s">
        <v>53</v>
      </c>
      <c r="C69" s="90"/>
      <c r="D69" s="90"/>
      <c r="E69" s="90"/>
      <c r="F69" s="119"/>
      <c r="G69" s="120"/>
      <c r="H69" s="153">
        <f>H67+H68</f>
        <v>359099.61285242997</v>
      </c>
      <c r="I69" s="115"/>
      <c r="J69" s="115"/>
      <c r="K69" s="115"/>
      <c r="L69" s="158">
        <f>L67+L68</f>
        <v>356419.94128684991</v>
      </c>
      <c r="M69" s="159"/>
      <c r="N69" s="160">
        <f>L69-H69</f>
        <v>-2679.6715655800654</v>
      </c>
      <c r="O69" s="104">
        <f>IF((H69)=0,"",(N69/H69))</f>
        <v>-7.4621956406320652E-3</v>
      </c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63" s="92" customFormat="1" ht="13.2" customHeight="1" x14ac:dyDescent="0.25">
      <c r="B70" s="174" t="s">
        <v>54</v>
      </c>
      <c r="C70" s="174"/>
      <c r="D70" s="174"/>
      <c r="E70" s="90"/>
      <c r="F70" s="119"/>
      <c r="G70" s="120"/>
      <c r="H70" s="154">
        <v>0</v>
      </c>
      <c r="I70" s="115"/>
      <c r="J70" s="115"/>
      <c r="K70" s="115"/>
      <c r="L70" s="161">
        <v>0</v>
      </c>
      <c r="M70" s="159"/>
      <c r="N70" s="162">
        <f>L70-H70</f>
        <v>0</v>
      </c>
      <c r="O70" s="107" t="str">
        <f>IF((H70)=0,"",(N70/H70))</f>
        <v/>
      </c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63" s="4" customFormat="1" ht="15" thickBot="1" x14ac:dyDescent="0.35">
      <c r="A71" s="60"/>
      <c r="B71" s="173" t="s">
        <v>57</v>
      </c>
      <c r="C71" s="173"/>
      <c r="D71" s="173"/>
      <c r="E71" s="42"/>
      <c r="F71" s="43"/>
      <c r="G71" s="44"/>
      <c r="H71" s="45">
        <f>SUM(H69:H70)</f>
        <v>359099.61285242997</v>
      </c>
      <c r="I71" s="46"/>
      <c r="J71" s="46"/>
      <c r="K71" s="46"/>
      <c r="L71" s="47">
        <f>SUM(L69:L70)</f>
        <v>356419.94128684991</v>
      </c>
      <c r="M71" s="48"/>
      <c r="N71" s="49">
        <f>L71-H71</f>
        <v>-2679.6715655800654</v>
      </c>
      <c r="O71" s="50">
        <f>IF((H71)=0,"",(N71/H71))</f>
        <v>-7.4621956406320652E-3</v>
      </c>
      <c r="P71" s="60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</row>
    <row r="72" spans="1:63" s="4" customFormat="1" ht="15" thickBot="1" x14ac:dyDescent="0.35">
      <c r="A72" s="60"/>
      <c r="B72" s="32"/>
      <c r="C72" s="33"/>
      <c r="D72" s="34"/>
      <c r="E72" s="33"/>
      <c r="F72" s="35"/>
      <c r="G72" s="36"/>
      <c r="H72" s="122"/>
      <c r="I72" s="123"/>
      <c r="J72" s="35"/>
      <c r="K72" s="39"/>
      <c r="L72" s="37"/>
      <c r="M72" s="123"/>
      <c r="N72" s="40"/>
      <c r="O72" s="41"/>
      <c r="P72" s="60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</row>
    <row r="73" spans="1:63" x14ac:dyDescent="0.3">
      <c r="L73" s="88"/>
    </row>
    <row r="74" spans="1:63" x14ac:dyDescent="0.3">
      <c r="B74" s="65" t="s">
        <v>58</v>
      </c>
      <c r="F74" s="51">
        <v>4.7000000000000002E-3</v>
      </c>
      <c r="J74" s="51">
        <v>4.4999999999999485E-3</v>
      </c>
    </row>
    <row r="76" spans="1:63" x14ac:dyDescent="0.3">
      <c r="L76" s="56"/>
      <c r="M76" s="56"/>
      <c r="N76" s="56"/>
      <c r="O76" s="56"/>
      <c r="P76" s="56"/>
    </row>
    <row r="77" spans="1:63" ht="16.2" x14ac:dyDescent="0.3">
      <c r="A77" s="121" t="s">
        <v>59</v>
      </c>
    </row>
    <row r="79" spans="1:63" x14ac:dyDescent="0.3">
      <c r="A79" s="60" t="s">
        <v>60</v>
      </c>
    </row>
    <row r="80" spans="1:63" x14ac:dyDescent="0.3">
      <c r="A80" s="60" t="s">
        <v>61</v>
      </c>
    </row>
    <row r="82" spans="2:2" x14ac:dyDescent="0.3">
      <c r="B82" s="60" t="s">
        <v>62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1:D71"/>
    <mergeCell ref="D21:D22"/>
    <mergeCell ref="N21:N22"/>
    <mergeCell ref="O21:O22"/>
    <mergeCell ref="B64:D64"/>
    <mergeCell ref="B65:D65"/>
    <mergeCell ref="B70:D70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sqref="E72 E66 E48:E49 E40:E46 E23:E38 E51:E60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</dataValidations>
  <pageMargins left="0.7" right="0.7" top="0.75" bottom="0.75" header="0.3" footer="0.3"/>
  <pageSetup scale="48" orientation="portrait" r:id="rId1"/>
  <ignoredErrors>
    <ignoredError sqref="F1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73" r:id="rId4" name="Option Button 17">
              <controlPr defaultSize="0" autoFill="0" autoLine="0" autoPict="0">
                <anchor moveWithCells="1">
                  <from>
                    <xdr:col>5</xdr:col>
                    <xdr:colOff>563880</xdr:colOff>
                    <xdr:row>15</xdr:row>
                    <xdr:rowOff>7620</xdr:rowOff>
                  </from>
                  <to>
                    <xdr:col>7</xdr:col>
                    <xdr:colOff>388620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5" name="Option Button 18">
              <controlPr defaultSize="0" autoFill="0" autoLine="0" autoPict="0">
                <anchor moveWithCells="1">
                  <from>
                    <xdr:col>7</xdr:col>
                    <xdr:colOff>144780</xdr:colOff>
                    <xdr:row>15</xdr:row>
                    <xdr:rowOff>0</xdr:rowOff>
                  </from>
                  <to>
                    <xdr:col>14</xdr:col>
                    <xdr:colOff>670560</xdr:colOff>
                    <xdr:row>16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K157"/>
  <sheetViews>
    <sheetView view="pageBreakPreview" topLeftCell="A9" zoomScale="80" zoomScaleNormal="80" zoomScaleSheetLayoutView="80" workbookViewId="0">
      <selection activeCell="D111" sqref="D111"/>
    </sheetView>
  </sheetViews>
  <sheetFormatPr defaultColWidth="9.109375" defaultRowHeight="14.4" x14ac:dyDescent="0.3"/>
  <cols>
    <col min="1" max="1" width="4.44140625" style="60" customWidth="1"/>
    <col min="2" max="2" width="54.109375" style="60" customWidth="1"/>
    <col min="3" max="3" width="1.33203125" style="60" customWidth="1"/>
    <col min="4" max="4" width="11.33203125" style="60" customWidth="1"/>
    <col min="5" max="5" width="1.33203125" style="60" customWidth="1"/>
    <col min="6" max="6" width="12.33203125" style="60" customWidth="1"/>
    <col min="7" max="7" width="14.44140625" style="60" bestFit="1" customWidth="1"/>
    <col min="8" max="8" width="12.44140625" style="60" bestFit="1" customWidth="1"/>
    <col min="9" max="9" width="2.88671875" style="60" customWidth="1"/>
    <col min="10" max="10" width="12.109375" style="60" customWidth="1"/>
    <col min="11" max="11" width="12.88671875" style="60" bestFit="1" customWidth="1"/>
    <col min="12" max="12" width="13.44140625" style="60" customWidth="1"/>
    <col min="13" max="13" width="2.88671875" style="60" customWidth="1"/>
    <col min="14" max="14" width="12.6640625" style="60" bestFit="1" customWidth="1"/>
    <col min="15" max="15" width="13.6640625" style="60" customWidth="1"/>
    <col min="16" max="16" width="3.88671875" style="60" customWidth="1"/>
    <col min="17" max="19" width="9.109375" style="60"/>
    <col min="20" max="20" width="9.109375" style="60" customWidth="1"/>
    <col min="21" max="16384" width="9.109375" style="60"/>
  </cols>
  <sheetData>
    <row r="1" spans="1:20" s="53" customFormat="1" ht="9.6" hidden="1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N1" s="54" t="s">
        <v>0</v>
      </c>
      <c r="O1" s="55" t="s">
        <v>76</v>
      </c>
      <c r="P1" s="56"/>
      <c r="T1" s="53">
        <v>1</v>
      </c>
    </row>
    <row r="2" spans="1:20" s="53" customFormat="1" ht="9.6" hidden="1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N2" s="54" t="s">
        <v>1</v>
      </c>
      <c r="O2" s="2"/>
      <c r="P2" s="56"/>
    </row>
    <row r="3" spans="1:20" s="53" customFormat="1" ht="9.6" hidden="1" customHeigh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N3" s="54" t="s">
        <v>2</v>
      </c>
      <c r="O3" s="2"/>
      <c r="P3" s="56"/>
    </row>
    <row r="4" spans="1:20" s="53" customFormat="1" ht="9.6" hidden="1" customHeight="1" x14ac:dyDescent="0.3">
      <c r="A4" s="57"/>
      <c r="B4" s="57"/>
      <c r="C4" s="57"/>
      <c r="D4" s="57"/>
      <c r="E4" s="57"/>
      <c r="F4" s="57"/>
      <c r="G4" s="57"/>
      <c r="H4" s="57"/>
      <c r="I4" s="58"/>
      <c r="J4" s="58"/>
      <c r="K4" s="58"/>
      <c r="N4" s="54" t="s">
        <v>3</v>
      </c>
      <c r="O4" s="2"/>
      <c r="P4" s="56"/>
    </row>
    <row r="5" spans="1:20" s="53" customFormat="1" ht="9.6" hidden="1" customHeight="1" x14ac:dyDescent="0.3">
      <c r="C5" s="59"/>
      <c r="D5" s="59"/>
      <c r="E5" s="59"/>
      <c r="N5" s="54" t="s">
        <v>4</v>
      </c>
      <c r="O5" s="3"/>
      <c r="P5" s="56"/>
    </row>
    <row r="6" spans="1:20" s="53" customFormat="1" ht="9.6" hidden="1" customHeight="1" x14ac:dyDescent="0.3">
      <c r="N6" s="54"/>
      <c r="O6" s="1"/>
      <c r="P6" s="56"/>
    </row>
    <row r="7" spans="1:20" s="53" customFormat="1" hidden="1" x14ac:dyDescent="0.3">
      <c r="N7" s="54" t="s">
        <v>5</v>
      </c>
      <c r="O7" s="3"/>
      <c r="P7" s="56"/>
    </row>
    <row r="8" spans="1:20" s="53" customFormat="1" ht="15" hidden="1" customHeight="1" x14ac:dyDescent="0.3">
      <c r="N8" s="60"/>
      <c r="O8" s="56"/>
      <c r="P8" s="56"/>
    </row>
    <row r="9" spans="1:20" ht="7.5" customHeight="1" x14ac:dyDescent="0.3">
      <c r="L9" s="56"/>
      <c r="M9" s="56"/>
      <c r="N9" s="56"/>
      <c r="O9" s="56"/>
      <c r="P9" s="56"/>
    </row>
    <row r="10" spans="1:20" ht="18.75" customHeight="1" x14ac:dyDescent="0.3">
      <c r="B10" s="175" t="s">
        <v>6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56"/>
    </row>
    <row r="11" spans="1:20" ht="18.75" customHeight="1" x14ac:dyDescent="0.3">
      <c r="B11" s="175" t="s">
        <v>7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56"/>
    </row>
    <row r="12" spans="1:20" ht="7.5" customHeight="1" x14ac:dyDescent="0.3">
      <c r="L12" s="56"/>
      <c r="M12" s="56"/>
      <c r="N12" s="56"/>
      <c r="O12" s="56"/>
      <c r="P12" s="56"/>
    </row>
    <row r="13" spans="1:20" ht="7.5" customHeight="1" x14ac:dyDescent="0.3">
      <c r="L13" s="56"/>
      <c r="M13" s="56"/>
      <c r="N13" s="56"/>
      <c r="O13" s="56"/>
      <c r="P13" s="56"/>
    </row>
    <row r="14" spans="1:20" ht="15.6" x14ac:dyDescent="0.3">
      <c r="B14" s="61" t="s">
        <v>8</v>
      </c>
      <c r="D14" s="185" t="s">
        <v>72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</row>
    <row r="15" spans="1:20" ht="7.5" customHeight="1" x14ac:dyDescent="0.3">
      <c r="B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20" ht="15.6" x14ac:dyDescent="0.3">
      <c r="B16" s="61" t="s">
        <v>9</v>
      </c>
      <c r="D16" s="5" t="s">
        <v>63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pans="2:29" ht="15.6" x14ac:dyDescent="0.3">
      <c r="B17" s="62"/>
      <c r="D17" s="63"/>
      <c r="E17" s="63"/>
      <c r="F17" s="6">
        <v>1</v>
      </c>
      <c r="G17" s="65" t="s">
        <v>73</v>
      </c>
      <c r="H17" s="63"/>
      <c r="I17" s="63"/>
      <c r="J17" s="63"/>
      <c r="K17" s="63"/>
      <c r="L17" s="63"/>
      <c r="M17" s="63"/>
      <c r="N17" s="63"/>
      <c r="O17" s="63"/>
    </row>
    <row r="18" spans="2:29" x14ac:dyDescent="0.3">
      <c r="B18" s="64"/>
      <c r="D18" s="65" t="s">
        <v>11</v>
      </c>
      <c r="E18" s="65"/>
      <c r="F18" s="6">
        <v>1</v>
      </c>
      <c r="G18" s="65" t="s">
        <v>64</v>
      </c>
    </row>
    <row r="19" spans="2:29" x14ac:dyDescent="0.3">
      <c r="B19" s="64"/>
      <c r="F19" s="6">
        <v>150</v>
      </c>
      <c r="G19" s="65" t="s">
        <v>12</v>
      </c>
    </row>
    <row r="20" spans="2:29" x14ac:dyDescent="0.3">
      <c r="B20" s="64"/>
      <c r="D20" s="66"/>
      <c r="E20" s="66"/>
      <c r="F20" s="176" t="s">
        <v>13</v>
      </c>
      <c r="G20" s="177"/>
      <c r="H20" s="178"/>
      <c r="J20" s="176" t="s">
        <v>14</v>
      </c>
      <c r="K20" s="177"/>
      <c r="L20" s="178"/>
      <c r="N20" s="176" t="s">
        <v>15</v>
      </c>
      <c r="O20" s="178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</row>
    <row r="21" spans="2:29" x14ac:dyDescent="0.3">
      <c r="B21" s="64"/>
      <c r="D21" s="179" t="s">
        <v>16</v>
      </c>
      <c r="E21" s="67"/>
      <c r="F21" s="68" t="s">
        <v>17</v>
      </c>
      <c r="G21" s="68" t="s">
        <v>18</v>
      </c>
      <c r="H21" s="69" t="s">
        <v>19</v>
      </c>
      <c r="J21" s="68" t="s">
        <v>17</v>
      </c>
      <c r="K21" s="70" t="s">
        <v>18</v>
      </c>
      <c r="L21" s="69" t="s">
        <v>19</v>
      </c>
      <c r="N21" s="181" t="s">
        <v>20</v>
      </c>
      <c r="O21" s="183" t="s">
        <v>21</v>
      </c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</row>
    <row r="22" spans="2:29" x14ac:dyDescent="0.3">
      <c r="B22" s="64"/>
      <c r="D22" s="180"/>
      <c r="E22" s="67"/>
      <c r="F22" s="71" t="s">
        <v>22</v>
      </c>
      <c r="G22" s="71"/>
      <c r="H22" s="72" t="s">
        <v>22</v>
      </c>
      <c r="J22" s="71" t="s">
        <v>22</v>
      </c>
      <c r="K22" s="72"/>
      <c r="L22" s="72" t="s">
        <v>22</v>
      </c>
      <c r="N22" s="182"/>
      <c r="O22" s="184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</row>
    <row r="23" spans="2:29" x14ac:dyDescent="0.3">
      <c r="B23" s="73" t="s">
        <v>23</v>
      </c>
      <c r="C23" s="73"/>
      <c r="D23" s="7" t="s">
        <v>24</v>
      </c>
      <c r="E23" s="73"/>
      <c r="F23" s="129">
        <v>3.1</v>
      </c>
      <c r="G23" s="74">
        <f>+F17</f>
        <v>1</v>
      </c>
      <c r="H23" s="75">
        <f t="shared" ref="H23:H38" si="0">G23*F23</f>
        <v>3.1</v>
      </c>
      <c r="I23" s="76"/>
      <c r="J23" s="129">
        <v>3.69</v>
      </c>
      <c r="K23" s="170">
        <f>+F17/1.7</f>
        <v>0.58823529411764708</v>
      </c>
      <c r="L23" s="75">
        <f t="shared" ref="L23:L38" si="1">K23*J23</f>
        <v>2.1705882352941175</v>
      </c>
      <c r="M23" s="76"/>
      <c r="N23" s="78">
        <f t="shared" ref="N23:N59" si="2">L23-H23</f>
        <v>-0.9294117647058826</v>
      </c>
      <c r="O23" s="79">
        <f t="shared" ref="O23:O45" si="3">IF((H23)=0,"",(N23/H23))</f>
        <v>-0.29981024667931694</v>
      </c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</row>
    <row r="24" spans="2:29" x14ac:dyDescent="0.3">
      <c r="B24" s="73" t="s">
        <v>25</v>
      </c>
      <c r="C24" s="73"/>
      <c r="D24" s="7" t="s">
        <v>24</v>
      </c>
      <c r="E24" s="73"/>
      <c r="F24" s="133"/>
      <c r="G24" s="74">
        <v>1</v>
      </c>
      <c r="H24" s="136">
        <f t="shared" si="0"/>
        <v>0</v>
      </c>
      <c r="I24" s="76"/>
      <c r="J24" s="130"/>
      <c r="K24" s="77">
        <v>1</v>
      </c>
      <c r="L24" s="136">
        <f t="shared" si="1"/>
        <v>0</v>
      </c>
      <c r="M24" s="76"/>
      <c r="N24" s="137">
        <f t="shared" si="2"/>
        <v>0</v>
      </c>
      <c r="O24" s="79" t="str">
        <f t="shared" si="3"/>
        <v/>
      </c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</row>
    <row r="25" spans="2:29" x14ac:dyDescent="0.3">
      <c r="B25" s="9"/>
      <c r="C25" s="73"/>
      <c r="D25" s="7"/>
      <c r="E25" s="73"/>
      <c r="F25" s="134"/>
      <c r="G25" s="74">
        <v>1</v>
      </c>
      <c r="H25" s="136">
        <f t="shared" si="0"/>
        <v>0</v>
      </c>
      <c r="I25" s="76"/>
      <c r="J25" s="131"/>
      <c r="K25" s="77">
        <v>1</v>
      </c>
      <c r="L25" s="136">
        <f t="shared" si="1"/>
        <v>0</v>
      </c>
      <c r="M25" s="76"/>
      <c r="N25" s="137">
        <f t="shared" si="2"/>
        <v>0</v>
      </c>
      <c r="O25" s="79" t="str">
        <f t="shared" si="3"/>
        <v/>
      </c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</row>
    <row r="26" spans="2:29" x14ac:dyDescent="0.3">
      <c r="B26" s="9"/>
      <c r="C26" s="73"/>
      <c r="D26" s="7"/>
      <c r="E26" s="73"/>
      <c r="F26" s="134"/>
      <c r="G26" s="74">
        <v>1</v>
      </c>
      <c r="H26" s="136">
        <f t="shared" si="0"/>
        <v>0</v>
      </c>
      <c r="I26" s="76"/>
      <c r="J26" s="131"/>
      <c r="K26" s="77">
        <v>1</v>
      </c>
      <c r="L26" s="136">
        <f t="shared" si="1"/>
        <v>0</v>
      </c>
      <c r="M26" s="76"/>
      <c r="N26" s="137">
        <f t="shared" si="2"/>
        <v>0</v>
      </c>
      <c r="O26" s="79" t="str">
        <f t="shared" si="3"/>
        <v/>
      </c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</row>
    <row r="27" spans="2:29" x14ac:dyDescent="0.3">
      <c r="B27" s="10"/>
      <c r="C27" s="73"/>
      <c r="D27" s="7"/>
      <c r="E27" s="73"/>
      <c r="F27" s="134"/>
      <c r="G27" s="74">
        <v>1</v>
      </c>
      <c r="H27" s="136">
        <f t="shared" si="0"/>
        <v>0</v>
      </c>
      <c r="I27" s="76"/>
      <c r="J27" s="131"/>
      <c r="K27" s="77">
        <v>1</v>
      </c>
      <c r="L27" s="136">
        <f t="shared" si="1"/>
        <v>0</v>
      </c>
      <c r="M27" s="76"/>
      <c r="N27" s="137">
        <f t="shared" si="2"/>
        <v>0</v>
      </c>
      <c r="O27" s="79" t="str">
        <f t="shared" si="3"/>
        <v/>
      </c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</row>
    <row r="28" spans="2:29" x14ac:dyDescent="0.3">
      <c r="B28" s="10"/>
      <c r="C28" s="73"/>
      <c r="D28" s="7"/>
      <c r="E28" s="73"/>
      <c r="F28" s="134"/>
      <c r="G28" s="74">
        <v>1</v>
      </c>
      <c r="H28" s="136">
        <f t="shared" si="0"/>
        <v>0</v>
      </c>
      <c r="I28" s="76"/>
      <c r="J28" s="131"/>
      <c r="K28" s="77">
        <v>1</v>
      </c>
      <c r="L28" s="136">
        <f t="shared" si="1"/>
        <v>0</v>
      </c>
      <c r="M28" s="76"/>
      <c r="N28" s="137">
        <f t="shared" si="2"/>
        <v>0</v>
      </c>
      <c r="O28" s="79" t="str">
        <f t="shared" si="3"/>
        <v/>
      </c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</row>
    <row r="29" spans="2:29" x14ac:dyDescent="0.3">
      <c r="B29" s="73" t="s">
        <v>26</v>
      </c>
      <c r="C29" s="73"/>
      <c r="D29" s="7" t="s">
        <v>67</v>
      </c>
      <c r="E29" s="73"/>
      <c r="F29" s="135">
        <v>19.033799999999999</v>
      </c>
      <c r="G29" s="74">
        <f>$F18</f>
        <v>1</v>
      </c>
      <c r="H29" s="136">
        <f>G29*F29</f>
        <v>19.033799999999999</v>
      </c>
      <c r="I29" s="76"/>
      <c r="J29" s="132">
        <v>22.639199999999999</v>
      </c>
      <c r="K29" s="74">
        <f>$F18</f>
        <v>1</v>
      </c>
      <c r="L29" s="136">
        <f>K29*J29</f>
        <v>22.639199999999999</v>
      </c>
      <c r="M29" s="76"/>
      <c r="N29" s="137">
        <f t="shared" si="2"/>
        <v>3.6053999999999995</v>
      </c>
      <c r="O29" s="79">
        <f t="shared" si="3"/>
        <v>0.18942092488100115</v>
      </c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</row>
    <row r="30" spans="2:29" x14ac:dyDescent="0.3">
      <c r="B30" s="73" t="s">
        <v>28</v>
      </c>
      <c r="C30" s="73"/>
      <c r="D30" s="7" t="s">
        <v>24</v>
      </c>
      <c r="E30" s="73"/>
      <c r="F30" s="135"/>
      <c r="G30" s="74">
        <v>1</v>
      </c>
      <c r="H30" s="136">
        <f t="shared" si="0"/>
        <v>0</v>
      </c>
      <c r="I30" s="76"/>
      <c r="J30" s="132"/>
      <c r="K30" s="74">
        <v>1</v>
      </c>
      <c r="L30" s="136">
        <f t="shared" si="1"/>
        <v>0</v>
      </c>
      <c r="M30" s="76"/>
      <c r="N30" s="137">
        <f t="shared" si="2"/>
        <v>0</v>
      </c>
      <c r="O30" s="79" t="str">
        <f t="shared" si="3"/>
        <v/>
      </c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</row>
    <row r="31" spans="2:29" x14ac:dyDescent="0.3">
      <c r="B31" s="73" t="s">
        <v>29</v>
      </c>
      <c r="C31" s="73"/>
      <c r="D31" s="7" t="s">
        <v>67</v>
      </c>
      <c r="E31" s="73"/>
      <c r="F31" s="135"/>
      <c r="G31" s="74">
        <f t="shared" ref="G31" si="4">$F$18</f>
        <v>1</v>
      </c>
      <c r="H31" s="136">
        <f t="shared" si="0"/>
        <v>0</v>
      </c>
      <c r="I31" s="76"/>
      <c r="J31" s="171">
        <v>0</v>
      </c>
      <c r="K31" s="74">
        <f t="shared" ref="K31" si="5">$F$18</f>
        <v>1</v>
      </c>
      <c r="L31" s="136">
        <f t="shared" si="1"/>
        <v>0</v>
      </c>
      <c r="M31" s="76"/>
      <c r="N31" s="137">
        <f t="shared" si="2"/>
        <v>0</v>
      </c>
      <c r="O31" s="79" t="str">
        <f t="shared" si="3"/>
        <v/>
      </c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</row>
    <row r="32" spans="2:29" x14ac:dyDescent="0.3">
      <c r="B32" s="11" t="s">
        <v>30</v>
      </c>
      <c r="C32" s="73"/>
      <c r="D32" s="7" t="s">
        <v>67</v>
      </c>
      <c r="E32" s="73"/>
      <c r="F32" s="135">
        <v>1.2014</v>
      </c>
      <c r="G32" s="74">
        <f>$F18</f>
        <v>1</v>
      </c>
      <c r="H32" s="136">
        <f>G32*F32</f>
        <v>1.2014</v>
      </c>
      <c r="I32" s="76"/>
      <c r="J32" s="132"/>
      <c r="K32" s="74">
        <f>$F18</f>
        <v>1</v>
      </c>
      <c r="L32" s="136">
        <f t="shared" si="1"/>
        <v>0</v>
      </c>
      <c r="M32" s="76"/>
      <c r="N32" s="137">
        <f t="shared" si="2"/>
        <v>-1.2014</v>
      </c>
      <c r="O32" s="79">
        <f t="shared" si="3"/>
        <v>-1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</row>
    <row r="33" spans="1:63" x14ac:dyDescent="0.3">
      <c r="B33" s="11" t="s">
        <v>31</v>
      </c>
      <c r="C33" s="73"/>
      <c r="D33" s="7" t="s">
        <v>67</v>
      </c>
      <c r="E33" s="73"/>
      <c r="F33" s="135">
        <v>-0.40060000000000001</v>
      </c>
      <c r="G33" s="74">
        <f>$F18</f>
        <v>1</v>
      </c>
      <c r="H33" s="136">
        <f t="shared" si="0"/>
        <v>-0.40060000000000001</v>
      </c>
      <c r="I33" s="76"/>
      <c r="J33" s="132"/>
      <c r="K33" s="74">
        <f>$F18</f>
        <v>1</v>
      </c>
      <c r="L33" s="136">
        <f t="shared" si="1"/>
        <v>0</v>
      </c>
      <c r="M33" s="76"/>
      <c r="N33" s="137">
        <f t="shared" si="2"/>
        <v>0.40060000000000001</v>
      </c>
      <c r="O33" s="79">
        <f t="shared" si="3"/>
        <v>-1</v>
      </c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</row>
    <row r="34" spans="1:63" x14ac:dyDescent="0.3">
      <c r="B34" s="12" t="str">
        <f>+Residential!$B$35</f>
        <v>Rate Rider for Disposition of Account 1576</v>
      </c>
      <c r="C34" s="73"/>
      <c r="D34" s="7" t="s">
        <v>67</v>
      </c>
      <c r="E34" s="73"/>
      <c r="F34" s="135"/>
      <c r="G34" s="74">
        <f>$F18</f>
        <v>1</v>
      </c>
      <c r="H34" s="136">
        <f t="shared" si="0"/>
        <v>0</v>
      </c>
      <c r="I34" s="76"/>
      <c r="J34" s="132">
        <v>-0.20499999999999999</v>
      </c>
      <c r="K34" s="74">
        <f>$F18</f>
        <v>1</v>
      </c>
      <c r="L34" s="136">
        <f t="shared" si="1"/>
        <v>-0.20499999999999999</v>
      </c>
      <c r="M34" s="76"/>
      <c r="N34" s="137">
        <f t="shared" si="2"/>
        <v>-0.20499999999999999</v>
      </c>
      <c r="O34" s="79" t="str">
        <f t="shared" si="3"/>
        <v/>
      </c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</row>
    <row r="35" spans="1:63" x14ac:dyDescent="0.3">
      <c r="B35" s="12" t="str">
        <f>+Residential!$B$36</f>
        <v xml:space="preserve">Rate Rider for Disposition of CGAAP CWIP differential </v>
      </c>
      <c r="C35" s="73"/>
      <c r="D35" s="7" t="s">
        <v>67</v>
      </c>
      <c r="E35" s="73"/>
      <c r="F35" s="134"/>
      <c r="G35" s="74">
        <f>$F18</f>
        <v>1</v>
      </c>
      <c r="H35" s="136">
        <f t="shared" si="0"/>
        <v>0</v>
      </c>
      <c r="I35" s="76"/>
      <c r="J35" s="132">
        <v>0.1108</v>
      </c>
      <c r="K35" s="74">
        <f>$F18</f>
        <v>1</v>
      </c>
      <c r="L35" s="136">
        <f t="shared" si="1"/>
        <v>0.1108</v>
      </c>
      <c r="M35" s="76"/>
      <c r="N35" s="137">
        <f t="shared" si="2"/>
        <v>0.1108</v>
      </c>
      <c r="O35" s="79" t="str">
        <f t="shared" si="3"/>
        <v/>
      </c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</row>
    <row r="36" spans="1:63" x14ac:dyDescent="0.3">
      <c r="B36" s="12" t="str">
        <f>+Residential!$B$37</f>
        <v xml:space="preserve">Rate Rider for Disposition of Incremental Capital Expenditures </v>
      </c>
      <c r="C36" s="73"/>
      <c r="D36" s="7" t="s">
        <v>67</v>
      </c>
      <c r="E36" s="73"/>
      <c r="F36" s="134"/>
      <c r="G36" s="74">
        <f>$F18</f>
        <v>1</v>
      </c>
      <c r="H36" s="136">
        <f t="shared" si="0"/>
        <v>0</v>
      </c>
      <c r="I36" s="76"/>
      <c r="J36" s="132">
        <v>6.6400000000000001E-2</v>
      </c>
      <c r="K36" s="74">
        <f>$F18</f>
        <v>1</v>
      </c>
      <c r="L36" s="136">
        <f t="shared" si="1"/>
        <v>6.6400000000000001E-2</v>
      </c>
      <c r="M36" s="76"/>
      <c r="N36" s="137">
        <f t="shared" si="2"/>
        <v>6.6400000000000001E-2</v>
      </c>
      <c r="O36" s="79" t="str">
        <f t="shared" si="3"/>
        <v/>
      </c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</row>
    <row r="37" spans="1:63" x14ac:dyDescent="0.3">
      <c r="B37" s="12"/>
      <c r="C37" s="73"/>
      <c r="D37" s="7"/>
      <c r="E37" s="73"/>
      <c r="F37" s="131"/>
      <c r="G37" s="74">
        <f>$F18</f>
        <v>1</v>
      </c>
      <c r="H37" s="136">
        <f t="shared" si="0"/>
        <v>0</v>
      </c>
      <c r="I37" s="76"/>
      <c r="J37" s="131"/>
      <c r="K37" s="74">
        <f>$F18</f>
        <v>1</v>
      </c>
      <c r="L37" s="136">
        <f t="shared" si="1"/>
        <v>0</v>
      </c>
      <c r="M37" s="76"/>
      <c r="N37" s="137">
        <f t="shared" si="2"/>
        <v>0</v>
      </c>
      <c r="O37" s="79" t="str">
        <f t="shared" si="3"/>
        <v/>
      </c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</row>
    <row r="38" spans="1:63" x14ac:dyDescent="0.3">
      <c r="B38" s="12"/>
      <c r="C38" s="73"/>
      <c r="D38" s="7"/>
      <c r="E38" s="73"/>
      <c r="F38" s="131"/>
      <c r="G38" s="74">
        <f>$F18</f>
        <v>1</v>
      </c>
      <c r="H38" s="136">
        <f t="shared" si="0"/>
        <v>0</v>
      </c>
      <c r="I38" s="76"/>
      <c r="J38" s="131"/>
      <c r="K38" s="74">
        <f>$F18</f>
        <v>1</v>
      </c>
      <c r="L38" s="136">
        <f t="shared" si="1"/>
        <v>0</v>
      </c>
      <c r="M38" s="76"/>
      <c r="N38" s="137">
        <f t="shared" si="2"/>
        <v>0</v>
      </c>
      <c r="O38" s="79" t="str">
        <f t="shared" si="3"/>
        <v/>
      </c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</row>
    <row r="39" spans="1:63" s="4" customFormat="1" x14ac:dyDescent="0.3">
      <c r="A39" s="60"/>
      <c r="B39" s="19" t="s">
        <v>33</v>
      </c>
      <c r="C39" s="20"/>
      <c r="D39" s="20"/>
      <c r="E39" s="20"/>
      <c r="F39" s="21"/>
      <c r="G39" s="22"/>
      <c r="H39" s="23">
        <f>SUM(H23:H38)</f>
        <v>22.9346</v>
      </c>
      <c r="I39" s="13"/>
      <c r="J39" s="14"/>
      <c r="K39" s="24"/>
      <c r="L39" s="23">
        <f>SUM(L23:L38)</f>
        <v>24.781988235294122</v>
      </c>
      <c r="M39" s="13"/>
      <c r="N39" s="15">
        <f t="shared" si="2"/>
        <v>1.8473882352941224</v>
      </c>
      <c r="O39" s="16">
        <f t="shared" si="3"/>
        <v>8.0550270564741594E-2</v>
      </c>
      <c r="P39" s="60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</row>
    <row r="40" spans="1:63" x14ac:dyDescent="0.3">
      <c r="B40" s="17" t="s">
        <v>34</v>
      </c>
      <c r="C40" s="73"/>
      <c r="D40" s="7" t="s">
        <v>67</v>
      </c>
      <c r="E40" s="73"/>
      <c r="F40" s="135">
        <v>9.4100000000000003E-2</v>
      </c>
      <c r="G40" s="74">
        <f>$F18</f>
        <v>1</v>
      </c>
      <c r="H40" s="136">
        <f t="shared" ref="H40:H46" si="6">G40*F40</f>
        <v>9.4100000000000003E-2</v>
      </c>
      <c r="I40" s="76"/>
      <c r="J40" s="132">
        <v>-0.58640000000000003</v>
      </c>
      <c r="K40" s="74">
        <f>$F18</f>
        <v>1</v>
      </c>
      <c r="L40" s="136">
        <f t="shared" ref="L40:L46" si="7">K40*J40</f>
        <v>-0.58640000000000003</v>
      </c>
      <c r="M40" s="76"/>
      <c r="N40" s="137">
        <f t="shared" si="2"/>
        <v>-0.68049999999999999</v>
      </c>
      <c r="O40" s="79">
        <f t="shared" si="3"/>
        <v>-7.2316684378320932</v>
      </c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</row>
    <row r="41" spans="1:63" x14ac:dyDescent="0.3">
      <c r="B41" s="17"/>
      <c r="C41" s="73"/>
      <c r="D41" s="7"/>
      <c r="E41" s="73"/>
      <c r="F41" s="8"/>
      <c r="G41" s="74">
        <f>$F18</f>
        <v>1</v>
      </c>
      <c r="H41" s="136">
        <f t="shared" si="6"/>
        <v>0</v>
      </c>
      <c r="I41" s="82"/>
      <c r="J41" s="8"/>
      <c r="K41" s="74">
        <f>$F18</f>
        <v>1</v>
      </c>
      <c r="L41" s="136">
        <f t="shared" si="7"/>
        <v>0</v>
      </c>
      <c r="M41" s="83"/>
      <c r="N41" s="137">
        <f t="shared" si="2"/>
        <v>0</v>
      </c>
      <c r="O41" s="79" t="str">
        <f t="shared" si="3"/>
        <v/>
      </c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</row>
    <row r="42" spans="1:63" x14ac:dyDescent="0.3">
      <c r="B42" s="17"/>
      <c r="C42" s="73"/>
      <c r="D42" s="7"/>
      <c r="E42" s="73"/>
      <c r="F42" s="8"/>
      <c r="G42" s="74">
        <f>$F18</f>
        <v>1</v>
      </c>
      <c r="H42" s="136">
        <f t="shared" si="6"/>
        <v>0</v>
      </c>
      <c r="I42" s="82"/>
      <c r="J42" s="8"/>
      <c r="K42" s="74">
        <f>$F18</f>
        <v>1</v>
      </c>
      <c r="L42" s="136">
        <f t="shared" si="7"/>
        <v>0</v>
      </c>
      <c r="M42" s="83"/>
      <c r="N42" s="137">
        <f t="shared" si="2"/>
        <v>0</v>
      </c>
      <c r="O42" s="79" t="str">
        <f t="shared" si="3"/>
        <v/>
      </c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</row>
    <row r="43" spans="1:63" x14ac:dyDescent="0.3">
      <c r="B43" s="17"/>
      <c r="C43" s="73"/>
      <c r="D43" s="7"/>
      <c r="E43" s="73"/>
      <c r="F43" s="8"/>
      <c r="G43" s="74">
        <f>$F18</f>
        <v>1</v>
      </c>
      <c r="H43" s="136">
        <f t="shared" si="6"/>
        <v>0</v>
      </c>
      <c r="I43" s="82"/>
      <c r="J43" s="8"/>
      <c r="K43" s="74">
        <f>$F18</f>
        <v>1</v>
      </c>
      <c r="L43" s="136">
        <f t="shared" si="7"/>
        <v>0</v>
      </c>
      <c r="M43" s="83"/>
      <c r="N43" s="137">
        <f t="shared" si="2"/>
        <v>0</v>
      </c>
      <c r="O43" s="79" t="str">
        <f t="shared" si="3"/>
        <v/>
      </c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</row>
    <row r="44" spans="1:63" x14ac:dyDescent="0.3">
      <c r="B44" s="80" t="s">
        <v>35</v>
      </c>
      <c r="C44" s="73"/>
      <c r="D44" s="7" t="s">
        <v>67</v>
      </c>
      <c r="E44" s="73"/>
      <c r="F44" s="135">
        <v>5.16E-2</v>
      </c>
      <c r="G44" s="74">
        <f>$F18</f>
        <v>1</v>
      </c>
      <c r="H44" s="136">
        <f t="shared" si="6"/>
        <v>5.16E-2</v>
      </c>
      <c r="I44" s="76"/>
      <c r="J44" s="132">
        <v>0.1061</v>
      </c>
      <c r="K44" s="74">
        <f>$F18</f>
        <v>1</v>
      </c>
      <c r="L44" s="136">
        <f t="shared" si="7"/>
        <v>0.1061</v>
      </c>
      <c r="M44" s="76"/>
      <c r="N44" s="137">
        <f t="shared" si="2"/>
        <v>5.45E-2</v>
      </c>
      <c r="O44" s="79">
        <f t="shared" si="3"/>
        <v>1.056201550387597</v>
      </c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</row>
    <row r="45" spans="1:63" x14ac:dyDescent="0.3">
      <c r="B45" s="80" t="s">
        <v>36</v>
      </c>
      <c r="C45" s="73"/>
      <c r="D45" s="7" t="s">
        <v>27</v>
      </c>
      <c r="E45" s="73"/>
      <c r="F45" s="138">
        <f>IF(ISBLANK(D16)=TRUE, 0, IF(D16="TOU", 0.64*$F55+0.18*$F56+0.18*$F57, IF(AND(D16="non-TOU", G59&gt;0), F59,F58)))</f>
        <v>7.4999999999999997E-2</v>
      </c>
      <c r="G45" s="18">
        <f>$F19*(1+$F74)-$F19</f>
        <v>5.6550000000000011</v>
      </c>
      <c r="H45" s="136">
        <f t="shared" si="6"/>
        <v>0.42412500000000009</v>
      </c>
      <c r="I45" s="76"/>
      <c r="J45" s="138">
        <f>+F45</f>
        <v>7.4999999999999997E-2</v>
      </c>
      <c r="K45" s="18">
        <f>$F19*(1+$J74)-$F19</f>
        <v>5.6400000000000148</v>
      </c>
      <c r="L45" s="136">
        <f t="shared" si="7"/>
        <v>0.4230000000000011</v>
      </c>
      <c r="M45" s="76"/>
      <c r="N45" s="137">
        <f t="shared" si="2"/>
        <v>-1.1249999999989879E-3</v>
      </c>
      <c r="O45" s="79">
        <f t="shared" si="3"/>
        <v>-2.6525198938968176E-3</v>
      </c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</row>
    <row r="46" spans="1:63" x14ac:dyDescent="0.3">
      <c r="B46" s="80" t="s">
        <v>37</v>
      </c>
      <c r="C46" s="73"/>
      <c r="D46" s="7" t="s">
        <v>24</v>
      </c>
      <c r="E46" s="73"/>
      <c r="F46" s="138">
        <v>0</v>
      </c>
      <c r="G46" s="74">
        <v>1</v>
      </c>
      <c r="H46" s="136">
        <f t="shared" si="6"/>
        <v>0</v>
      </c>
      <c r="I46" s="76"/>
      <c r="J46" s="138"/>
      <c r="K46" s="81">
        <v>1</v>
      </c>
      <c r="L46" s="136">
        <f t="shared" si="7"/>
        <v>0</v>
      </c>
      <c r="M46" s="76"/>
      <c r="N46" s="137">
        <f t="shared" si="2"/>
        <v>0</v>
      </c>
      <c r="O46" s="79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</row>
    <row r="47" spans="1:63" s="4" customFormat="1" x14ac:dyDescent="0.3">
      <c r="A47" s="60"/>
      <c r="B47" s="19" t="s">
        <v>38</v>
      </c>
      <c r="C47" s="20"/>
      <c r="D47" s="20"/>
      <c r="E47" s="20"/>
      <c r="F47" s="21"/>
      <c r="G47" s="22"/>
      <c r="H47" s="23">
        <f>SUM(H40:H46)+H39</f>
        <v>23.504425000000001</v>
      </c>
      <c r="I47" s="13"/>
      <c r="J47" s="22"/>
      <c r="K47" s="24"/>
      <c r="L47" s="23">
        <f>SUM(L40:L46)+L39</f>
        <v>24.724688235294124</v>
      </c>
      <c r="M47" s="13"/>
      <c r="N47" s="15">
        <f t="shared" si="2"/>
        <v>1.2202632352941229</v>
      </c>
      <c r="O47" s="16">
        <f t="shared" ref="O47:O59" si="8">IF((H47)=0,"",(N47/H47))</f>
        <v>5.1916319386418636E-2</v>
      </c>
      <c r="P47" s="60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</row>
    <row r="48" spans="1:63" x14ac:dyDescent="0.3">
      <c r="B48" s="76" t="s">
        <v>39</v>
      </c>
      <c r="C48" s="76"/>
      <c r="D48" s="25" t="s">
        <v>67</v>
      </c>
      <c r="E48" s="76"/>
      <c r="F48" s="135">
        <v>2.3081</v>
      </c>
      <c r="G48" s="18">
        <f>F18*(1+F74)</f>
        <v>1.0377000000000001</v>
      </c>
      <c r="H48" s="136">
        <f>G48*F48</f>
        <v>2.3951153700000001</v>
      </c>
      <c r="I48" s="76"/>
      <c r="J48" s="135">
        <v>2.2892000000000001</v>
      </c>
      <c r="K48" s="18">
        <f>F18*(1+J74)</f>
        <v>1.0376000000000001</v>
      </c>
      <c r="L48" s="136">
        <f>K48*J48</f>
        <v>2.3752739200000001</v>
      </c>
      <c r="M48" s="76"/>
      <c r="N48" s="136">
        <f>L48-H48</f>
        <v>-1.9841449999999927E-2</v>
      </c>
      <c r="O48" s="79">
        <f>IF((H48)=0,"",(N48/H48))</f>
        <v>-8.2841312149401491E-3</v>
      </c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</row>
    <row r="49" spans="1:63" x14ac:dyDescent="0.3">
      <c r="B49" s="85" t="s">
        <v>40</v>
      </c>
      <c r="C49" s="76"/>
      <c r="D49" s="25" t="s">
        <v>67</v>
      </c>
      <c r="E49" s="76"/>
      <c r="F49" s="135">
        <v>1.5656000000000001</v>
      </c>
      <c r="G49" s="18">
        <f>G48</f>
        <v>1.0377000000000001</v>
      </c>
      <c r="H49" s="136">
        <f>G49*F49</f>
        <v>1.6246231200000003</v>
      </c>
      <c r="I49" s="76"/>
      <c r="J49" s="135">
        <v>1.5168999999999999</v>
      </c>
      <c r="K49" s="18">
        <f>K48</f>
        <v>1.0376000000000001</v>
      </c>
      <c r="L49" s="136">
        <f>K49*J49</f>
        <v>1.5739354400000001</v>
      </c>
      <c r="M49" s="76"/>
      <c r="N49" s="136">
        <f t="shared" si="2"/>
        <v>-5.0687680000000235E-2</v>
      </c>
      <c r="O49" s="79">
        <f t="shared" si="8"/>
        <v>-3.1199654477402874E-2</v>
      </c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</row>
    <row r="50" spans="1:63" s="4" customFormat="1" x14ac:dyDescent="0.3">
      <c r="A50" s="60"/>
      <c r="B50" s="19" t="s">
        <v>41</v>
      </c>
      <c r="C50" s="20"/>
      <c r="D50" s="20"/>
      <c r="E50" s="20"/>
      <c r="F50" s="21"/>
      <c r="G50" s="22"/>
      <c r="H50" s="23">
        <f>SUM(H47:H49)</f>
        <v>27.524163489999999</v>
      </c>
      <c r="I50" s="13"/>
      <c r="J50" s="26"/>
      <c r="K50" s="22"/>
      <c r="L50" s="23">
        <f>SUM(L47:L49)</f>
        <v>28.673897595294125</v>
      </c>
      <c r="M50" s="13"/>
      <c r="N50" s="15">
        <f t="shared" si="2"/>
        <v>1.1497341052941259</v>
      </c>
      <c r="O50" s="16">
        <f t="shared" si="8"/>
        <v>4.177180918547603E-2</v>
      </c>
      <c r="P50" s="60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</row>
    <row r="51" spans="1:63" x14ac:dyDescent="0.3">
      <c r="B51" s="86" t="s">
        <v>42</v>
      </c>
      <c r="C51" s="73"/>
      <c r="D51" s="7" t="s">
        <v>27</v>
      </c>
      <c r="E51" s="73"/>
      <c r="F51" s="135">
        <v>4.4000000000000003E-3</v>
      </c>
      <c r="G51" s="18">
        <f>F19*(1+F74)</f>
        <v>155.655</v>
      </c>
      <c r="H51" s="139">
        <f t="shared" ref="H51:H59" si="9">G51*F51</f>
        <v>0.68488199999999999</v>
      </c>
      <c r="I51" s="76"/>
      <c r="J51" s="135">
        <f>+F51</f>
        <v>4.4000000000000003E-3</v>
      </c>
      <c r="K51" s="18">
        <f>F19*(1+J74)</f>
        <v>155.64000000000001</v>
      </c>
      <c r="L51" s="139">
        <f t="shared" ref="L51:L59" si="10">K51*J51</f>
        <v>0.68481600000000009</v>
      </c>
      <c r="M51" s="76"/>
      <c r="N51" s="137">
        <f t="shared" si="2"/>
        <v>-6.5999999999899472E-5</v>
      </c>
      <c r="O51" s="87">
        <f t="shared" si="8"/>
        <v>-9.6366965404112641E-5</v>
      </c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</row>
    <row r="52" spans="1:63" x14ac:dyDescent="0.3">
      <c r="B52" s="86" t="s">
        <v>43</v>
      </c>
      <c r="C52" s="73"/>
      <c r="D52" s="7" t="s">
        <v>27</v>
      </c>
      <c r="E52" s="73"/>
      <c r="F52" s="135">
        <v>1.1999999999999999E-3</v>
      </c>
      <c r="G52" s="18">
        <f>+G51</f>
        <v>155.655</v>
      </c>
      <c r="H52" s="139">
        <f t="shared" si="9"/>
        <v>0.18678599999999998</v>
      </c>
      <c r="I52" s="76"/>
      <c r="J52" s="135">
        <v>1.2999999999999999E-3</v>
      </c>
      <c r="K52" s="18">
        <f>+K51</f>
        <v>155.64000000000001</v>
      </c>
      <c r="L52" s="139">
        <f t="shared" si="10"/>
        <v>0.20233200000000001</v>
      </c>
      <c r="M52" s="76"/>
      <c r="N52" s="137">
        <f t="shared" si="2"/>
        <v>1.5546000000000032E-2</v>
      </c>
      <c r="O52" s="87">
        <f t="shared" si="8"/>
        <v>8.3228935787478905E-2</v>
      </c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</row>
    <row r="53" spans="1:63" x14ac:dyDescent="0.3">
      <c r="B53" s="73" t="s">
        <v>44</v>
      </c>
      <c r="C53" s="73"/>
      <c r="D53" s="7" t="s">
        <v>24</v>
      </c>
      <c r="E53" s="73"/>
      <c r="F53" s="135">
        <v>0.25</v>
      </c>
      <c r="G53" s="81">
        <v>1</v>
      </c>
      <c r="H53" s="139">
        <f t="shared" si="9"/>
        <v>0.25</v>
      </c>
      <c r="I53" s="76"/>
      <c r="J53" s="135">
        <f>+F53</f>
        <v>0.25</v>
      </c>
      <c r="K53" s="77">
        <v>1</v>
      </c>
      <c r="L53" s="139">
        <f t="shared" si="10"/>
        <v>0.25</v>
      </c>
      <c r="M53" s="76"/>
      <c r="N53" s="137">
        <f t="shared" si="2"/>
        <v>0</v>
      </c>
      <c r="O53" s="87">
        <f t="shared" si="8"/>
        <v>0</v>
      </c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</row>
    <row r="54" spans="1:63" x14ac:dyDescent="0.3">
      <c r="B54" s="73" t="s">
        <v>45</v>
      </c>
      <c r="C54" s="73"/>
      <c r="D54" s="7" t="s">
        <v>27</v>
      </c>
      <c r="E54" s="73"/>
      <c r="F54" s="135">
        <v>7.0000000000000001E-3</v>
      </c>
      <c r="G54" s="84">
        <f>F19</f>
        <v>150</v>
      </c>
      <c r="H54" s="139">
        <f t="shared" si="9"/>
        <v>1.05</v>
      </c>
      <c r="I54" s="76"/>
      <c r="J54" s="135">
        <f>+F54</f>
        <v>7.0000000000000001E-3</v>
      </c>
      <c r="K54" s="77">
        <f>F19</f>
        <v>150</v>
      </c>
      <c r="L54" s="139">
        <f t="shared" si="10"/>
        <v>1.05</v>
      </c>
      <c r="M54" s="76"/>
      <c r="N54" s="137">
        <f t="shared" si="2"/>
        <v>0</v>
      </c>
      <c r="O54" s="87">
        <f t="shared" si="8"/>
        <v>0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</row>
    <row r="55" spans="1:63" x14ac:dyDescent="0.3">
      <c r="B55" s="80" t="s">
        <v>46</v>
      </c>
      <c r="C55" s="73"/>
      <c r="D55" s="7" t="s">
        <v>27</v>
      </c>
      <c r="E55" s="73"/>
      <c r="F55" s="138">
        <v>6.7000000000000004E-2</v>
      </c>
      <c r="G55" s="27">
        <f>0.64*$F19</f>
        <v>96</v>
      </c>
      <c r="H55" s="139">
        <f t="shared" si="9"/>
        <v>6.4320000000000004</v>
      </c>
      <c r="I55" s="76"/>
      <c r="J55" s="138">
        <v>6.7000000000000004E-2</v>
      </c>
      <c r="K55" s="28">
        <f>G55</f>
        <v>96</v>
      </c>
      <c r="L55" s="139">
        <f t="shared" si="10"/>
        <v>6.4320000000000004</v>
      </c>
      <c r="M55" s="76"/>
      <c r="N55" s="137">
        <f t="shared" si="2"/>
        <v>0</v>
      </c>
      <c r="O55" s="87">
        <f t="shared" si="8"/>
        <v>0</v>
      </c>
      <c r="Q55" s="126"/>
      <c r="R55" s="126"/>
      <c r="S55" s="127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</row>
    <row r="56" spans="1:63" x14ac:dyDescent="0.3">
      <c r="B56" s="80" t="s">
        <v>47</v>
      </c>
      <c r="C56" s="73"/>
      <c r="D56" s="7" t="s">
        <v>27</v>
      </c>
      <c r="E56" s="73"/>
      <c r="F56" s="138">
        <v>0.104</v>
      </c>
      <c r="G56" s="27">
        <f>0.18*$F19</f>
        <v>27</v>
      </c>
      <c r="H56" s="139">
        <f t="shared" si="9"/>
        <v>2.8079999999999998</v>
      </c>
      <c r="I56" s="76"/>
      <c r="J56" s="138">
        <v>0.104</v>
      </c>
      <c r="K56" s="28">
        <f>G56</f>
        <v>27</v>
      </c>
      <c r="L56" s="139">
        <f t="shared" si="10"/>
        <v>2.8079999999999998</v>
      </c>
      <c r="M56" s="76"/>
      <c r="N56" s="137">
        <f t="shared" si="2"/>
        <v>0</v>
      </c>
      <c r="O56" s="87">
        <f t="shared" si="8"/>
        <v>0</v>
      </c>
      <c r="Q56" s="126"/>
      <c r="R56" s="126"/>
      <c r="S56" s="127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</row>
    <row r="57" spans="1:63" x14ac:dyDescent="0.3">
      <c r="B57" s="64" t="s">
        <v>48</v>
      </c>
      <c r="C57" s="73"/>
      <c r="D57" s="7" t="s">
        <v>27</v>
      </c>
      <c r="E57" s="73"/>
      <c r="F57" s="138">
        <v>0.124</v>
      </c>
      <c r="G57" s="27">
        <f>0.18*$F19</f>
        <v>27</v>
      </c>
      <c r="H57" s="139">
        <f t="shared" si="9"/>
        <v>3.3479999999999999</v>
      </c>
      <c r="I57" s="76"/>
      <c r="J57" s="138">
        <v>0.124</v>
      </c>
      <c r="K57" s="28">
        <f>G57</f>
        <v>27</v>
      </c>
      <c r="L57" s="139">
        <f t="shared" si="10"/>
        <v>3.3479999999999999</v>
      </c>
      <c r="M57" s="76"/>
      <c r="N57" s="137">
        <f t="shared" si="2"/>
        <v>0</v>
      </c>
      <c r="O57" s="87">
        <f t="shared" si="8"/>
        <v>0</v>
      </c>
      <c r="Q57" s="126"/>
      <c r="R57" s="126"/>
      <c r="S57" s="127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</row>
    <row r="58" spans="1:63" s="92" customFormat="1" x14ac:dyDescent="0.25">
      <c r="B58" s="89" t="s">
        <v>49</v>
      </c>
      <c r="C58" s="90"/>
      <c r="D58" s="29" t="s">
        <v>27</v>
      </c>
      <c r="E58" s="90"/>
      <c r="F58" s="138">
        <v>7.4999999999999997E-2</v>
      </c>
      <c r="G58" s="30">
        <f>IF(AND($T$1=1, F19&gt;=750), 750, IF(AND($T$1=1, AND(F19&lt;750, F19&gt;=0)), F19, IF(AND($T$1=2, F19&gt;=750), 750, IF(AND($T$1=2, AND(F19&lt;750, F19&gt;=0)), F19))))</f>
        <v>150</v>
      </c>
      <c r="H58" s="139">
        <f t="shared" si="9"/>
        <v>11.25</v>
      </c>
      <c r="I58" s="91"/>
      <c r="J58" s="138">
        <v>7.4999999999999997E-2</v>
      </c>
      <c r="K58" s="31">
        <f>G58</f>
        <v>150</v>
      </c>
      <c r="L58" s="139">
        <f t="shared" si="10"/>
        <v>11.25</v>
      </c>
      <c r="M58" s="91"/>
      <c r="N58" s="140">
        <f t="shared" si="2"/>
        <v>0</v>
      </c>
      <c r="O58" s="87">
        <f t="shared" si="8"/>
        <v>0</v>
      </c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</row>
    <row r="59" spans="1:63" s="92" customFormat="1" ht="15" thickBot="1" x14ac:dyDescent="0.3">
      <c r="B59" s="89" t="s">
        <v>50</v>
      </c>
      <c r="C59" s="90"/>
      <c r="D59" s="29" t="s">
        <v>27</v>
      </c>
      <c r="E59" s="90"/>
      <c r="F59" s="138">
        <v>8.7999999999999995E-2</v>
      </c>
      <c r="G59" s="30">
        <f>IF(AND($T$1=1, F19&gt;=750), F19-750, IF(AND($T$1=1, AND(F19&lt;750, F19&gt;=0)), 0, IF(AND($T$1=2, F19&gt;=750), F19-750, IF(AND($T$1=2, AND(F19&lt;750, F19&gt;=0)), 0))))</f>
        <v>0</v>
      </c>
      <c r="H59" s="139">
        <f t="shared" si="9"/>
        <v>0</v>
      </c>
      <c r="I59" s="91"/>
      <c r="J59" s="138">
        <v>8.7999999999999995E-2</v>
      </c>
      <c r="K59" s="31">
        <f>G59</f>
        <v>0</v>
      </c>
      <c r="L59" s="139">
        <f t="shared" si="10"/>
        <v>0</v>
      </c>
      <c r="M59" s="91"/>
      <c r="N59" s="140">
        <f t="shared" si="2"/>
        <v>0</v>
      </c>
      <c r="O59" s="87" t="str">
        <f t="shared" si="8"/>
        <v/>
      </c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</row>
    <row r="60" spans="1:63" s="4" customFormat="1" ht="15" thickBot="1" x14ac:dyDescent="0.35">
      <c r="A60" s="60"/>
      <c r="B60" s="32"/>
      <c r="C60" s="33"/>
      <c r="D60" s="124"/>
      <c r="E60" s="33"/>
      <c r="F60" s="35"/>
      <c r="G60" s="36"/>
      <c r="H60" s="122"/>
      <c r="I60" s="123"/>
      <c r="J60" s="35"/>
      <c r="K60" s="39"/>
      <c r="L60" s="122"/>
      <c r="M60" s="123"/>
      <c r="N60" s="40"/>
      <c r="O60" s="41"/>
      <c r="P60" s="60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</row>
    <row r="61" spans="1:63" x14ac:dyDescent="0.3">
      <c r="B61" s="93" t="s">
        <v>51</v>
      </c>
      <c r="C61" s="73"/>
      <c r="D61" s="73"/>
      <c r="E61" s="73"/>
      <c r="F61" s="94"/>
      <c r="G61" s="95"/>
      <c r="H61" s="141">
        <f>SUM(H51:H57,H50)</f>
        <v>42.283831489999997</v>
      </c>
      <c r="I61" s="96"/>
      <c r="J61" s="97"/>
      <c r="K61" s="97"/>
      <c r="L61" s="144">
        <f>SUM(L51:L57,L50)</f>
        <v>43.449045595294123</v>
      </c>
      <c r="M61" s="145"/>
      <c r="N61" s="146">
        <f>L61-H61</f>
        <v>1.1652141052941261</v>
      </c>
      <c r="O61" s="98">
        <f>IF((H61)=0,"",(N61/H61))</f>
        <v>2.7556965966286564E-2</v>
      </c>
      <c r="Q61" s="126"/>
      <c r="R61" s="126"/>
      <c r="S61" s="127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</row>
    <row r="62" spans="1:63" x14ac:dyDescent="0.3">
      <c r="B62" s="99" t="s">
        <v>52</v>
      </c>
      <c r="C62" s="73"/>
      <c r="D62" s="73"/>
      <c r="E62" s="73"/>
      <c r="F62" s="100">
        <v>0.13</v>
      </c>
      <c r="G62" s="101"/>
      <c r="H62" s="142">
        <f>H61*F62</f>
        <v>5.4968980936999996</v>
      </c>
      <c r="I62" s="102"/>
      <c r="J62" s="103">
        <v>0.13</v>
      </c>
      <c r="K62" s="102"/>
      <c r="L62" s="147">
        <f>L61*J62</f>
        <v>5.6483759273882361</v>
      </c>
      <c r="M62" s="148"/>
      <c r="N62" s="149">
        <f>L62-H62</f>
        <v>0.15147783368823653</v>
      </c>
      <c r="O62" s="104">
        <f>IF((H62)=0,"",(N62/H62))</f>
        <v>2.7556965966286592E-2</v>
      </c>
      <c r="Q62" s="126"/>
      <c r="R62" s="126"/>
      <c r="S62" s="127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</row>
    <row r="63" spans="1:63" x14ac:dyDescent="0.3">
      <c r="B63" s="105" t="s">
        <v>53</v>
      </c>
      <c r="C63" s="73"/>
      <c r="D63" s="73"/>
      <c r="E63" s="73"/>
      <c r="F63" s="106"/>
      <c r="G63" s="101"/>
      <c r="H63" s="142">
        <f>H61+H62</f>
        <v>47.780729583699994</v>
      </c>
      <c r="I63" s="102"/>
      <c r="J63" s="102"/>
      <c r="K63" s="102"/>
      <c r="L63" s="147">
        <f>L61+L62</f>
        <v>49.09742152268236</v>
      </c>
      <c r="M63" s="148"/>
      <c r="N63" s="149">
        <f>L63-H63</f>
        <v>1.3166919389823661</v>
      </c>
      <c r="O63" s="104">
        <f>IF((H63)=0,"",(N63/H63))</f>
        <v>2.7556965966286644E-2</v>
      </c>
      <c r="Q63" s="126"/>
      <c r="R63" s="126"/>
      <c r="S63" s="127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</row>
    <row r="64" spans="1:63" ht="14.4" customHeight="1" x14ac:dyDescent="0.3">
      <c r="B64" s="172" t="s">
        <v>54</v>
      </c>
      <c r="C64" s="172"/>
      <c r="D64" s="172"/>
      <c r="E64" s="73"/>
      <c r="F64" s="106"/>
      <c r="G64" s="101"/>
      <c r="H64" s="143">
        <v>0</v>
      </c>
      <c r="I64" s="102"/>
      <c r="J64" s="102"/>
      <c r="K64" s="102"/>
      <c r="L64" s="150">
        <v>0</v>
      </c>
      <c r="M64" s="148"/>
      <c r="N64" s="151">
        <f>L64-H64</f>
        <v>0</v>
      </c>
      <c r="O64" s="107" t="str">
        <f>IF((H64)=0,"",(N64/H64))</f>
        <v/>
      </c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</row>
    <row r="65" spans="1:63" s="4" customFormat="1" ht="15" thickBot="1" x14ac:dyDescent="0.35">
      <c r="A65" s="60"/>
      <c r="B65" s="173" t="s">
        <v>55</v>
      </c>
      <c r="C65" s="173"/>
      <c r="D65" s="173"/>
      <c r="E65" s="42"/>
      <c r="F65" s="43"/>
      <c r="G65" s="44"/>
      <c r="H65" s="45">
        <f>H63+H64</f>
        <v>47.780729583699994</v>
      </c>
      <c r="I65" s="46"/>
      <c r="J65" s="46"/>
      <c r="K65" s="46"/>
      <c r="L65" s="47">
        <f>L63+L64</f>
        <v>49.09742152268236</v>
      </c>
      <c r="M65" s="48"/>
      <c r="N65" s="49">
        <f>L65-H65</f>
        <v>1.3166919389823661</v>
      </c>
      <c r="O65" s="50">
        <f>IF((H65)=0,"",(N65/H65))</f>
        <v>2.7556965966286644E-2</v>
      </c>
      <c r="P65" s="60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</row>
    <row r="66" spans="1:63" s="4" customFormat="1" ht="15" thickBot="1" x14ac:dyDescent="0.35">
      <c r="A66" s="60"/>
      <c r="B66" s="32"/>
      <c r="C66" s="33"/>
      <c r="D66" s="34"/>
      <c r="E66" s="33"/>
      <c r="F66" s="35"/>
      <c r="G66" s="36"/>
      <c r="H66" s="37"/>
      <c r="I66" s="38"/>
      <c r="J66" s="35"/>
      <c r="K66" s="39"/>
      <c r="L66" s="37"/>
      <c r="M66" s="123"/>
      <c r="N66" s="40"/>
      <c r="O66" s="41"/>
      <c r="P66" s="60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</row>
    <row r="67" spans="1:63" s="92" customFormat="1" ht="13.2" x14ac:dyDescent="0.25">
      <c r="B67" s="108" t="s">
        <v>56</v>
      </c>
      <c r="C67" s="90"/>
      <c r="D67" s="90"/>
      <c r="E67" s="90"/>
      <c r="F67" s="109"/>
      <c r="G67" s="110"/>
      <c r="H67" s="152">
        <f>SUM(H58:H59,H50,H51:H54)</f>
        <v>40.945831489999996</v>
      </c>
      <c r="I67" s="111"/>
      <c r="J67" s="112"/>
      <c r="K67" s="112"/>
      <c r="L67" s="155">
        <f>SUM(L58:L59,L50,L51:L54)</f>
        <v>42.111045595294115</v>
      </c>
      <c r="M67" s="156"/>
      <c r="N67" s="157">
        <f>L67-H67</f>
        <v>1.165214105294119</v>
      </c>
      <c r="O67" s="98">
        <f>IF((H67)=0,"",(N67/H67))</f>
        <v>2.8457453735643238E-2</v>
      </c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63" s="92" customFormat="1" ht="13.2" x14ac:dyDescent="0.25">
      <c r="B68" s="113" t="s">
        <v>52</v>
      </c>
      <c r="C68" s="90"/>
      <c r="D68" s="90"/>
      <c r="E68" s="90"/>
      <c r="F68" s="114">
        <v>0.13</v>
      </c>
      <c r="G68" s="110"/>
      <c r="H68" s="153">
        <f>H67*F68</f>
        <v>5.3229580936999996</v>
      </c>
      <c r="I68" s="115"/>
      <c r="J68" s="116">
        <v>0.13</v>
      </c>
      <c r="K68" s="117"/>
      <c r="L68" s="158">
        <f>L67*J68</f>
        <v>5.4744359273882353</v>
      </c>
      <c r="M68" s="159"/>
      <c r="N68" s="160">
        <f>L68-H68</f>
        <v>0.15147783368823564</v>
      </c>
      <c r="O68" s="104">
        <f>IF((H68)=0,"",(N68/H68))</f>
        <v>2.8457453735643273E-2</v>
      </c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63" s="92" customFormat="1" ht="13.2" x14ac:dyDescent="0.25">
      <c r="B69" s="118" t="s">
        <v>53</v>
      </c>
      <c r="C69" s="90"/>
      <c r="D69" s="90"/>
      <c r="E69" s="90"/>
      <c r="F69" s="119"/>
      <c r="G69" s="120"/>
      <c r="H69" s="153">
        <f>H67+H68</f>
        <v>46.268789583699999</v>
      </c>
      <c r="I69" s="115"/>
      <c r="J69" s="115"/>
      <c r="K69" s="115"/>
      <c r="L69" s="158">
        <f>L67+L68</f>
        <v>47.58548152268235</v>
      </c>
      <c r="M69" s="159"/>
      <c r="N69" s="160">
        <f>L69-H69</f>
        <v>1.3166919389823519</v>
      </c>
      <c r="O69" s="104">
        <f>IF((H69)=0,"",(N69/H69))</f>
        <v>2.8457453735643182E-2</v>
      </c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63" s="92" customFormat="1" ht="13.2" customHeight="1" x14ac:dyDescent="0.25">
      <c r="B70" s="174" t="s">
        <v>54</v>
      </c>
      <c r="C70" s="174"/>
      <c r="D70" s="174"/>
      <c r="E70" s="90"/>
      <c r="F70" s="119"/>
      <c r="G70" s="120"/>
      <c r="H70" s="154">
        <v>0</v>
      </c>
      <c r="I70" s="115"/>
      <c r="J70" s="115"/>
      <c r="K70" s="115"/>
      <c r="L70" s="161">
        <v>0</v>
      </c>
      <c r="M70" s="159"/>
      <c r="N70" s="162">
        <f>L70-H70</f>
        <v>0</v>
      </c>
      <c r="O70" s="107" t="str">
        <f>IF((H70)=0,"",(N70/H70))</f>
        <v/>
      </c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63" s="4" customFormat="1" ht="15" thickBot="1" x14ac:dyDescent="0.35">
      <c r="A71" s="60"/>
      <c r="B71" s="173" t="s">
        <v>57</v>
      </c>
      <c r="C71" s="173"/>
      <c r="D71" s="173"/>
      <c r="E71" s="42"/>
      <c r="F71" s="43"/>
      <c r="G71" s="44"/>
      <c r="H71" s="45">
        <f>SUM(H69:H70)</f>
        <v>46.268789583699999</v>
      </c>
      <c r="I71" s="46"/>
      <c r="J71" s="46"/>
      <c r="K71" s="46"/>
      <c r="L71" s="47">
        <f>SUM(L69:L70)</f>
        <v>47.58548152268235</v>
      </c>
      <c r="M71" s="48"/>
      <c r="N71" s="49">
        <f>L71-H71</f>
        <v>1.3166919389823519</v>
      </c>
      <c r="O71" s="50">
        <f>IF((H71)=0,"",(N71/H71))</f>
        <v>2.8457453735643182E-2</v>
      </c>
      <c r="P71" s="60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</row>
    <row r="72" spans="1:63" s="4" customFormat="1" ht="15" thickBot="1" x14ac:dyDescent="0.35">
      <c r="A72" s="60"/>
      <c r="B72" s="32"/>
      <c r="C72" s="33"/>
      <c r="D72" s="34"/>
      <c r="E72" s="33"/>
      <c r="F72" s="35"/>
      <c r="G72" s="36"/>
      <c r="H72" s="122"/>
      <c r="I72" s="123"/>
      <c r="J72" s="35"/>
      <c r="K72" s="39"/>
      <c r="L72" s="37"/>
      <c r="M72" s="123"/>
      <c r="N72" s="40"/>
      <c r="O72" s="41"/>
      <c r="P72" s="60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</row>
    <row r="73" spans="1:63" x14ac:dyDescent="0.3">
      <c r="L73" s="88"/>
    </row>
    <row r="74" spans="1:63" x14ac:dyDescent="0.3">
      <c r="B74" s="65" t="s">
        <v>58</v>
      </c>
      <c r="F74" s="51">
        <v>3.7699999999999997E-2</v>
      </c>
      <c r="J74" s="51">
        <f>+Residential!$J$74</f>
        <v>3.7600000000000001E-2</v>
      </c>
    </row>
    <row r="76" spans="1:63" x14ac:dyDescent="0.3">
      <c r="L76" s="56"/>
      <c r="M76" s="56"/>
      <c r="N76" s="56"/>
      <c r="O76" s="56"/>
      <c r="P76" s="56"/>
    </row>
    <row r="77" spans="1:63" ht="16.2" x14ac:dyDescent="0.3">
      <c r="A77" s="121" t="s">
        <v>59</v>
      </c>
    </row>
    <row r="79" spans="1:63" x14ac:dyDescent="0.3">
      <c r="A79" s="60" t="s">
        <v>60</v>
      </c>
    </row>
    <row r="80" spans="1:63" x14ac:dyDescent="0.3">
      <c r="A80" s="60" t="s">
        <v>61</v>
      </c>
    </row>
    <row r="82" spans="2:29" x14ac:dyDescent="0.3">
      <c r="B82" s="60" t="s">
        <v>62</v>
      </c>
    </row>
    <row r="85" spans="2:29" ht="18.75" customHeight="1" x14ac:dyDescent="0.3">
      <c r="B85" s="175" t="s">
        <v>6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56"/>
    </row>
    <row r="86" spans="2:29" ht="18.75" customHeight="1" x14ac:dyDescent="0.3">
      <c r="B86" s="175" t="s">
        <v>7</v>
      </c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56"/>
    </row>
    <row r="87" spans="2:29" ht="7.5" customHeight="1" x14ac:dyDescent="0.3">
      <c r="L87" s="56"/>
      <c r="M87" s="56"/>
      <c r="N87" s="56"/>
      <c r="O87" s="56"/>
      <c r="P87" s="56"/>
    </row>
    <row r="88" spans="2:29" ht="7.5" customHeight="1" x14ac:dyDescent="0.3">
      <c r="L88" s="56"/>
      <c r="M88" s="56"/>
      <c r="N88" s="56"/>
      <c r="O88" s="56"/>
      <c r="P88" s="56"/>
    </row>
    <row r="89" spans="2:29" ht="15.6" x14ac:dyDescent="0.3">
      <c r="B89" s="61" t="s">
        <v>8</v>
      </c>
      <c r="D89" s="185" t="s">
        <v>72</v>
      </c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</row>
    <row r="90" spans="2:29" ht="7.5" customHeight="1" x14ac:dyDescent="0.3">
      <c r="B90" s="62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</row>
    <row r="91" spans="2:29" ht="15.6" x14ac:dyDescent="0.3">
      <c r="B91" s="61" t="s">
        <v>9</v>
      </c>
      <c r="D91" s="5" t="s">
        <v>63</v>
      </c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</row>
    <row r="92" spans="2:29" ht="15.6" x14ac:dyDescent="0.3">
      <c r="B92" s="62"/>
      <c r="D92" s="63"/>
      <c r="E92" s="63"/>
      <c r="F92" s="6">
        <v>15600</v>
      </c>
      <c r="G92" s="65" t="s">
        <v>73</v>
      </c>
      <c r="H92" s="63"/>
      <c r="I92" s="63"/>
      <c r="J92" s="63"/>
      <c r="K92" s="63"/>
      <c r="L92" s="63"/>
      <c r="M92" s="63"/>
      <c r="N92" s="63"/>
      <c r="O92" s="63"/>
    </row>
    <row r="93" spans="2:29" x14ac:dyDescent="0.3">
      <c r="B93" s="64"/>
      <c r="D93" s="65" t="s">
        <v>11</v>
      </c>
      <c r="E93" s="65"/>
      <c r="F93" s="6">
        <v>2000</v>
      </c>
      <c r="G93" s="65" t="s">
        <v>64</v>
      </c>
    </row>
    <row r="94" spans="2:29" x14ac:dyDescent="0.3">
      <c r="B94" s="64"/>
      <c r="F94" s="6">
        <v>700000</v>
      </c>
      <c r="G94" s="65" t="s">
        <v>12</v>
      </c>
    </row>
    <row r="95" spans="2:29" x14ac:dyDescent="0.3">
      <c r="B95" s="64"/>
      <c r="D95" s="66"/>
      <c r="E95" s="66"/>
      <c r="F95" s="176" t="s">
        <v>13</v>
      </c>
      <c r="G95" s="177"/>
      <c r="H95" s="178"/>
      <c r="J95" s="176" t="s">
        <v>14</v>
      </c>
      <c r="K95" s="177"/>
      <c r="L95" s="178"/>
      <c r="N95" s="176" t="s">
        <v>15</v>
      </c>
      <c r="O95" s="178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</row>
    <row r="96" spans="2:29" x14ac:dyDescent="0.3">
      <c r="B96" s="64"/>
      <c r="D96" s="179" t="s">
        <v>16</v>
      </c>
      <c r="E96" s="67"/>
      <c r="F96" s="68" t="s">
        <v>17</v>
      </c>
      <c r="G96" s="68" t="s">
        <v>18</v>
      </c>
      <c r="H96" s="69" t="s">
        <v>19</v>
      </c>
      <c r="J96" s="68" t="s">
        <v>17</v>
      </c>
      <c r="K96" s="70" t="s">
        <v>18</v>
      </c>
      <c r="L96" s="69" t="s">
        <v>19</v>
      </c>
      <c r="N96" s="181" t="s">
        <v>20</v>
      </c>
      <c r="O96" s="183" t="s">
        <v>21</v>
      </c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</row>
    <row r="97" spans="2:29" x14ac:dyDescent="0.3">
      <c r="B97" s="64"/>
      <c r="D97" s="180"/>
      <c r="E97" s="67"/>
      <c r="F97" s="71" t="s">
        <v>22</v>
      </c>
      <c r="G97" s="71"/>
      <c r="H97" s="72" t="s">
        <v>22</v>
      </c>
      <c r="J97" s="71" t="s">
        <v>22</v>
      </c>
      <c r="K97" s="72"/>
      <c r="L97" s="72" t="s">
        <v>22</v>
      </c>
      <c r="N97" s="182"/>
      <c r="O97" s="184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</row>
    <row r="98" spans="2:29" x14ac:dyDescent="0.3">
      <c r="B98" s="73" t="s">
        <v>23</v>
      </c>
      <c r="C98" s="73"/>
      <c r="D98" s="7" t="s">
        <v>24</v>
      </c>
      <c r="E98" s="73"/>
      <c r="F98" s="129">
        <v>3.1</v>
      </c>
      <c r="G98" s="74">
        <f>+F92</f>
        <v>15600</v>
      </c>
      <c r="H98" s="75">
        <f t="shared" ref="H98:H113" si="11">G98*F98</f>
        <v>48360</v>
      </c>
      <c r="I98" s="76"/>
      <c r="J98" s="129">
        <v>3.69</v>
      </c>
      <c r="K98" s="77">
        <f>+F92/1.7</f>
        <v>9176.4705882352937</v>
      </c>
      <c r="L98" s="75">
        <f t="shared" ref="L98:L113" si="12">K98*J98</f>
        <v>33861.176470588231</v>
      </c>
      <c r="M98" s="76"/>
      <c r="N98" s="78">
        <f t="shared" ref="N98:N134" si="13">L98-H98</f>
        <v>-14498.823529411769</v>
      </c>
      <c r="O98" s="79">
        <f t="shared" ref="O98:O120" si="14">IF((H98)=0,"",(N98/H98))</f>
        <v>-0.29981024667931699</v>
      </c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</row>
    <row r="99" spans="2:29" x14ac:dyDescent="0.3">
      <c r="B99" s="73" t="s">
        <v>25</v>
      </c>
      <c r="C99" s="73"/>
      <c r="D99" s="7" t="s">
        <v>24</v>
      </c>
      <c r="E99" s="73"/>
      <c r="F99" s="133"/>
      <c r="G99" s="74">
        <v>1</v>
      </c>
      <c r="H99" s="136">
        <f t="shared" si="11"/>
        <v>0</v>
      </c>
      <c r="I99" s="76"/>
      <c r="J99" s="130"/>
      <c r="K99" s="77">
        <v>1</v>
      </c>
      <c r="L99" s="136">
        <f t="shared" si="12"/>
        <v>0</v>
      </c>
      <c r="M99" s="76"/>
      <c r="N99" s="137">
        <f t="shared" si="13"/>
        <v>0</v>
      </c>
      <c r="O99" s="79" t="str">
        <f t="shared" si="14"/>
        <v/>
      </c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</row>
    <row r="100" spans="2:29" x14ac:dyDescent="0.3">
      <c r="B100" s="9"/>
      <c r="C100" s="73"/>
      <c r="D100" s="7"/>
      <c r="E100" s="73"/>
      <c r="F100" s="134"/>
      <c r="G100" s="74">
        <v>1</v>
      </c>
      <c r="H100" s="136">
        <f t="shared" si="11"/>
        <v>0</v>
      </c>
      <c r="I100" s="76"/>
      <c r="J100" s="131"/>
      <c r="K100" s="77">
        <v>1</v>
      </c>
      <c r="L100" s="136">
        <f t="shared" si="12"/>
        <v>0</v>
      </c>
      <c r="M100" s="76"/>
      <c r="N100" s="137">
        <f t="shared" si="13"/>
        <v>0</v>
      </c>
      <c r="O100" s="79" t="str">
        <f t="shared" si="14"/>
        <v/>
      </c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</row>
    <row r="101" spans="2:29" x14ac:dyDescent="0.3">
      <c r="B101" s="9"/>
      <c r="C101" s="73"/>
      <c r="D101" s="7"/>
      <c r="E101" s="73"/>
      <c r="F101" s="134"/>
      <c r="G101" s="74">
        <v>1</v>
      </c>
      <c r="H101" s="136">
        <f t="shared" si="11"/>
        <v>0</v>
      </c>
      <c r="I101" s="76"/>
      <c r="J101" s="131"/>
      <c r="K101" s="77">
        <v>1</v>
      </c>
      <c r="L101" s="136">
        <f t="shared" si="12"/>
        <v>0</v>
      </c>
      <c r="M101" s="76"/>
      <c r="N101" s="137">
        <f t="shared" si="13"/>
        <v>0</v>
      </c>
      <c r="O101" s="79" t="str">
        <f t="shared" si="14"/>
        <v/>
      </c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</row>
    <row r="102" spans="2:29" x14ac:dyDescent="0.3">
      <c r="B102" s="10"/>
      <c r="C102" s="73"/>
      <c r="D102" s="7"/>
      <c r="E102" s="73"/>
      <c r="F102" s="134"/>
      <c r="G102" s="74">
        <v>1</v>
      </c>
      <c r="H102" s="136">
        <f t="shared" si="11"/>
        <v>0</v>
      </c>
      <c r="I102" s="76"/>
      <c r="J102" s="131"/>
      <c r="K102" s="77">
        <v>1</v>
      </c>
      <c r="L102" s="136">
        <f t="shared" si="12"/>
        <v>0</v>
      </c>
      <c r="M102" s="76"/>
      <c r="N102" s="137">
        <f t="shared" si="13"/>
        <v>0</v>
      </c>
      <c r="O102" s="79" t="str">
        <f t="shared" si="14"/>
        <v/>
      </c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</row>
    <row r="103" spans="2:29" x14ac:dyDescent="0.3">
      <c r="B103" s="10"/>
      <c r="C103" s="73"/>
      <c r="D103" s="7"/>
      <c r="E103" s="73"/>
      <c r="F103" s="134"/>
      <c r="G103" s="74">
        <v>1</v>
      </c>
      <c r="H103" s="136">
        <f t="shared" si="11"/>
        <v>0</v>
      </c>
      <c r="I103" s="76"/>
      <c r="J103" s="131"/>
      <c r="K103" s="77">
        <v>1</v>
      </c>
      <c r="L103" s="136">
        <f t="shared" si="12"/>
        <v>0</v>
      </c>
      <c r="M103" s="76"/>
      <c r="N103" s="137">
        <f t="shared" si="13"/>
        <v>0</v>
      </c>
      <c r="O103" s="79" t="str">
        <f t="shared" si="14"/>
        <v/>
      </c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</row>
    <row r="104" spans="2:29" x14ac:dyDescent="0.3">
      <c r="B104" s="73" t="s">
        <v>26</v>
      </c>
      <c r="C104" s="73"/>
      <c r="D104" s="7" t="s">
        <v>67</v>
      </c>
      <c r="E104" s="73"/>
      <c r="F104" s="135">
        <v>19.033799999999999</v>
      </c>
      <c r="G104" s="74">
        <f>$F93</f>
        <v>2000</v>
      </c>
      <c r="H104" s="136">
        <f t="shared" si="11"/>
        <v>38067.599999999999</v>
      </c>
      <c r="I104" s="76"/>
      <c r="J104" s="132">
        <v>22.639199999999999</v>
      </c>
      <c r="K104" s="74">
        <f>$F93</f>
        <v>2000</v>
      </c>
      <c r="L104" s="136">
        <f t="shared" si="12"/>
        <v>45278.399999999994</v>
      </c>
      <c r="M104" s="76"/>
      <c r="N104" s="137">
        <f t="shared" si="13"/>
        <v>7210.7999999999956</v>
      </c>
      <c r="O104" s="79">
        <f t="shared" si="14"/>
        <v>0.18942092488100107</v>
      </c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</row>
    <row r="105" spans="2:29" x14ac:dyDescent="0.3">
      <c r="B105" s="73" t="s">
        <v>28</v>
      </c>
      <c r="C105" s="73"/>
      <c r="D105" s="7" t="s">
        <v>24</v>
      </c>
      <c r="E105" s="73"/>
      <c r="F105" s="135"/>
      <c r="G105" s="74">
        <v>1</v>
      </c>
      <c r="H105" s="136">
        <f t="shared" si="11"/>
        <v>0</v>
      </c>
      <c r="I105" s="76"/>
      <c r="J105" s="132"/>
      <c r="K105" s="74">
        <v>1</v>
      </c>
      <c r="L105" s="136">
        <f t="shared" si="12"/>
        <v>0</v>
      </c>
      <c r="M105" s="76"/>
      <c r="N105" s="137">
        <f t="shared" si="13"/>
        <v>0</v>
      </c>
      <c r="O105" s="79" t="str">
        <f t="shared" si="14"/>
        <v/>
      </c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</row>
    <row r="106" spans="2:29" x14ac:dyDescent="0.3">
      <c r="B106" s="73" t="s">
        <v>29</v>
      </c>
      <c r="C106" s="73"/>
      <c r="D106" s="7" t="s">
        <v>67</v>
      </c>
      <c r="E106" s="73"/>
      <c r="F106" s="135"/>
      <c r="G106" s="74">
        <f t="shared" ref="G106" si="15">$F$18</f>
        <v>1</v>
      </c>
      <c r="H106" s="136">
        <f t="shared" si="11"/>
        <v>0</v>
      </c>
      <c r="I106" s="76"/>
      <c r="J106" s="171">
        <v>0</v>
      </c>
      <c r="K106" s="74">
        <f t="shared" ref="K106" si="16">$F$18</f>
        <v>1</v>
      </c>
      <c r="L106" s="136">
        <f t="shared" si="12"/>
        <v>0</v>
      </c>
      <c r="M106" s="76"/>
      <c r="N106" s="137">
        <f t="shared" si="13"/>
        <v>0</v>
      </c>
      <c r="O106" s="79" t="str">
        <f t="shared" si="14"/>
        <v/>
      </c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</row>
    <row r="107" spans="2:29" x14ac:dyDescent="0.3">
      <c r="B107" s="11" t="s">
        <v>30</v>
      </c>
      <c r="C107" s="73"/>
      <c r="D107" s="7" t="s">
        <v>67</v>
      </c>
      <c r="E107" s="73"/>
      <c r="F107" s="135">
        <v>1.2014</v>
      </c>
      <c r="G107" s="74">
        <f>$F93</f>
        <v>2000</v>
      </c>
      <c r="H107" s="136">
        <f t="shared" si="11"/>
        <v>2402.8000000000002</v>
      </c>
      <c r="I107" s="76"/>
      <c r="J107" s="132"/>
      <c r="K107" s="74">
        <f>$F93</f>
        <v>2000</v>
      </c>
      <c r="L107" s="136">
        <f t="shared" si="12"/>
        <v>0</v>
      </c>
      <c r="M107" s="76"/>
      <c r="N107" s="137">
        <f t="shared" si="13"/>
        <v>-2402.8000000000002</v>
      </c>
      <c r="O107" s="79">
        <f t="shared" si="14"/>
        <v>-1</v>
      </c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</row>
    <row r="108" spans="2:29" x14ac:dyDescent="0.3">
      <c r="B108" s="11" t="s">
        <v>31</v>
      </c>
      <c r="C108" s="73"/>
      <c r="D108" s="7" t="s">
        <v>67</v>
      </c>
      <c r="E108" s="73"/>
      <c r="F108" s="135">
        <v>-0.40060000000000001</v>
      </c>
      <c r="G108" s="74">
        <f>$F93</f>
        <v>2000</v>
      </c>
      <c r="H108" s="136">
        <f t="shared" si="11"/>
        <v>-801.2</v>
      </c>
      <c r="I108" s="76"/>
      <c r="J108" s="132"/>
      <c r="K108" s="74">
        <f>$F93</f>
        <v>2000</v>
      </c>
      <c r="L108" s="136">
        <f t="shared" si="12"/>
        <v>0</v>
      </c>
      <c r="M108" s="76"/>
      <c r="N108" s="137">
        <f t="shared" si="13"/>
        <v>801.2</v>
      </c>
      <c r="O108" s="79">
        <f t="shared" si="14"/>
        <v>-1</v>
      </c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</row>
    <row r="109" spans="2:29" x14ac:dyDescent="0.3">
      <c r="B109" s="12" t="str">
        <f>+Residential!$B$35</f>
        <v>Rate Rider for Disposition of Account 1576</v>
      </c>
      <c r="C109" s="73"/>
      <c r="D109" s="7" t="s">
        <v>67</v>
      </c>
      <c r="E109" s="73"/>
      <c r="F109" s="135"/>
      <c r="G109" s="74">
        <f>$F93</f>
        <v>2000</v>
      </c>
      <c r="H109" s="136">
        <f t="shared" si="11"/>
        <v>0</v>
      </c>
      <c r="I109" s="76"/>
      <c r="J109" s="132">
        <v>-0.20499999999999999</v>
      </c>
      <c r="K109" s="74">
        <f>$F93</f>
        <v>2000</v>
      </c>
      <c r="L109" s="136">
        <f t="shared" si="12"/>
        <v>-410</v>
      </c>
      <c r="M109" s="76"/>
      <c r="N109" s="137">
        <f t="shared" si="13"/>
        <v>-410</v>
      </c>
      <c r="O109" s="79" t="str">
        <f t="shared" si="14"/>
        <v/>
      </c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</row>
    <row r="110" spans="2:29" x14ac:dyDescent="0.3">
      <c r="B110" s="12" t="str">
        <f>+Residential!$B$36</f>
        <v xml:space="preserve">Rate Rider for Disposition of CGAAP CWIP differential </v>
      </c>
      <c r="C110" s="73"/>
      <c r="D110" s="7" t="s">
        <v>67</v>
      </c>
      <c r="E110" s="73"/>
      <c r="F110" s="134"/>
      <c r="G110" s="74">
        <f>$F93</f>
        <v>2000</v>
      </c>
      <c r="H110" s="136">
        <f t="shared" si="11"/>
        <v>0</v>
      </c>
      <c r="I110" s="76"/>
      <c r="J110" s="132">
        <v>0.1108</v>
      </c>
      <c r="K110" s="74">
        <f>$F93</f>
        <v>2000</v>
      </c>
      <c r="L110" s="136">
        <f t="shared" si="12"/>
        <v>221.6</v>
      </c>
      <c r="M110" s="76"/>
      <c r="N110" s="137">
        <f t="shared" si="13"/>
        <v>221.6</v>
      </c>
      <c r="O110" s="79" t="str">
        <f t="shared" si="14"/>
        <v/>
      </c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</row>
    <row r="111" spans="2:29" x14ac:dyDescent="0.3">
      <c r="B111" s="12" t="str">
        <f>+Residential!$B$37</f>
        <v xml:space="preserve">Rate Rider for Disposition of Incremental Capital Expenditures </v>
      </c>
      <c r="C111" s="73"/>
      <c r="D111" s="7" t="s">
        <v>67</v>
      </c>
      <c r="E111" s="73"/>
      <c r="F111" s="134"/>
      <c r="G111" s="74">
        <f>$F93</f>
        <v>2000</v>
      </c>
      <c r="H111" s="136">
        <f t="shared" si="11"/>
        <v>0</v>
      </c>
      <c r="I111" s="76"/>
      <c r="J111" s="132">
        <v>6.6400000000000001E-2</v>
      </c>
      <c r="K111" s="74">
        <f>$F93</f>
        <v>2000</v>
      </c>
      <c r="L111" s="136">
        <f t="shared" si="12"/>
        <v>132.80000000000001</v>
      </c>
      <c r="M111" s="76"/>
      <c r="N111" s="137">
        <f t="shared" si="13"/>
        <v>132.80000000000001</v>
      </c>
      <c r="O111" s="79" t="str">
        <f t="shared" si="14"/>
        <v/>
      </c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</row>
    <row r="112" spans="2:29" x14ac:dyDescent="0.3">
      <c r="B112" s="12"/>
      <c r="C112" s="73"/>
      <c r="D112" s="7"/>
      <c r="E112" s="73"/>
      <c r="F112" s="131"/>
      <c r="G112" s="74">
        <f>$F93</f>
        <v>2000</v>
      </c>
      <c r="H112" s="136">
        <f t="shared" si="11"/>
        <v>0</v>
      </c>
      <c r="I112" s="76"/>
      <c r="J112" s="131"/>
      <c r="K112" s="74">
        <f>$F93</f>
        <v>2000</v>
      </c>
      <c r="L112" s="136">
        <f t="shared" si="12"/>
        <v>0</v>
      </c>
      <c r="M112" s="76"/>
      <c r="N112" s="137">
        <f t="shared" si="13"/>
        <v>0</v>
      </c>
      <c r="O112" s="79" t="str">
        <f t="shared" si="14"/>
        <v/>
      </c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</row>
    <row r="113" spans="1:63" x14ac:dyDescent="0.3">
      <c r="B113" s="12"/>
      <c r="C113" s="73"/>
      <c r="D113" s="7"/>
      <c r="E113" s="73"/>
      <c r="F113" s="131"/>
      <c r="G113" s="74">
        <f>$F93</f>
        <v>2000</v>
      </c>
      <c r="H113" s="136">
        <f t="shared" si="11"/>
        <v>0</v>
      </c>
      <c r="I113" s="76"/>
      <c r="J113" s="131"/>
      <c r="K113" s="74">
        <f>$F93</f>
        <v>2000</v>
      </c>
      <c r="L113" s="136">
        <f t="shared" si="12"/>
        <v>0</v>
      </c>
      <c r="M113" s="76"/>
      <c r="N113" s="137">
        <f t="shared" si="13"/>
        <v>0</v>
      </c>
      <c r="O113" s="79" t="str">
        <f t="shared" si="14"/>
        <v/>
      </c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</row>
    <row r="114" spans="1:63" s="4" customFormat="1" x14ac:dyDescent="0.3">
      <c r="A114" s="60"/>
      <c r="B114" s="19" t="s">
        <v>33</v>
      </c>
      <c r="C114" s="20"/>
      <c r="D114" s="20"/>
      <c r="E114" s="20"/>
      <c r="F114" s="21"/>
      <c r="G114" s="22"/>
      <c r="H114" s="23">
        <f>SUM(H98:H113)</f>
        <v>88029.200000000012</v>
      </c>
      <c r="I114" s="13"/>
      <c r="J114" s="14"/>
      <c r="K114" s="24"/>
      <c r="L114" s="23">
        <f>SUM(L98:L113)</f>
        <v>79083.976470588226</v>
      </c>
      <c r="M114" s="13"/>
      <c r="N114" s="15">
        <f t="shared" si="13"/>
        <v>-8945.2235294117854</v>
      </c>
      <c r="O114" s="16">
        <f t="shared" si="14"/>
        <v>-0.1016165491610941</v>
      </c>
      <c r="P114" s="60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</row>
    <row r="115" spans="1:63" x14ac:dyDescent="0.3">
      <c r="B115" s="17" t="s">
        <v>34</v>
      </c>
      <c r="C115" s="73"/>
      <c r="D115" s="7" t="s">
        <v>67</v>
      </c>
      <c r="E115" s="73"/>
      <c r="F115" s="135">
        <v>9.4100000000000003E-2</v>
      </c>
      <c r="G115" s="74">
        <f>$F93</f>
        <v>2000</v>
      </c>
      <c r="H115" s="136">
        <f t="shared" ref="H115:H121" si="17">G115*F115</f>
        <v>188.20000000000002</v>
      </c>
      <c r="I115" s="76"/>
      <c r="J115" s="132">
        <v>-0.58640000000000003</v>
      </c>
      <c r="K115" s="74">
        <f>$F93</f>
        <v>2000</v>
      </c>
      <c r="L115" s="136">
        <f t="shared" ref="L115:L121" si="18">K115*J115</f>
        <v>-1172.8</v>
      </c>
      <c r="M115" s="76"/>
      <c r="N115" s="137">
        <f t="shared" si="13"/>
        <v>-1361</v>
      </c>
      <c r="O115" s="79">
        <f t="shared" si="14"/>
        <v>-7.2316684378320932</v>
      </c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</row>
    <row r="116" spans="1:63" x14ac:dyDescent="0.3">
      <c r="B116" s="17"/>
      <c r="C116" s="73"/>
      <c r="D116" s="7"/>
      <c r="E116" s="73"/>
      <c r="F116" s="8"/>
      <c r="G116" s="74">
        <f>$F93</f>
        <v>2000</v>
      </c>
      <c r="H116" s="136">
        <f t="shared" si="17"/>
        <v>0</v>
      </c>
      <c r="I116" s="82"/>
      <c r="J116" s="8"/>
      <c r="K116" s="74">
        <f>$F93</f>
        <v>2000</v>
      </c>
      <c r="L116" s="136">
        <f t="shared" si="18"/>
        <v>0</v>
      </c>
      <c r="M116" s="83"/>
      <c r="N116" s="137">
        <f t="shared" si="13"/>
        <v>0</v>
      </c>
      <c r="O116" s="79" t="str">
        <f t="shared" si="14"/>
        <v/>
      </c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</row>
    <row r="117" spans="1:63" x14ac:dyDescent="0.3">
      <c r="B117" s="17"/>
      <c r="C117" s="73"/>
      <c r="D117" s="7"/>
      <c r="E117" s="73"/>
      <c r="F117" s="8"/>
      <c r="G117" s="74">
        <f>$F93</f>
        <v>2000</v>
      </c>
      <c r="H117" s="136">
        <f t="shared" si="17"/>
        <v>0</v>
      </c>
      <c r="I117" s="82"/>
      <c r="J117" s="8"/>
      <c r="K117" s="74">
        <f>$F93</f>
        <v>2000</v>
      </c>
      <c r="L117" s="136">
        <f t="shared" si="18"/>
        <v>0</v>
      </c>
      <c r="M117" s="83"/>
      <c r="N117" s="137">
        <f t="shared" si="13"/>
        <v>0</v>
      </c>
      <c r="O117" s="79" t="str">
        <f t="shared" si="14"/>
        <v/>
      </c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</row>
    <row r="118" spans="1:63" x14ac:dyDescent="0.3">
      <c r="B118" s="17"/>
      <c r="C118" s="73"/>
      <c r="D118" s="7"/>
      <c r="E118" s="73"/>
      <c r="F118" s="8"/>
      <c r="G118" s="74">
        <f>$F93</f>
        <v>2000</v>
      </c>
      <c r="H118" s="136">
        <f t="shared" si="17"/>
        <v>0</v>
      </c>
      <c r="I118" s="82"/>
      <c r="J118" s="8"/>
      <c r="K118" s="74">
        <f>$F93</f>
        <v>2000</v>
      </c>
      <c r="L118" s="136">
        <f t="shared" si="18"/>
        <v>0</v>
      </c>
      <c r="M118" s="83"/>
      <c r="N118" s="137">
        <f t="shared" si="13"/>
        <v>0</v>
      </c>
      <c r="O118" s="79" t="str">
        <f t="shared" si="14"/>
        <v/>
      </c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</row>
    <row r="119" spans="1:63" x14ac:dyDescent="0.3">
      <c r="B119" s="80" t="s">
        <v>35</v>
      </c>
      <c r="C119" s="73"/>
      <c r="D119" s="7" t="s">
        <v>67</v>
      </c>
      <c r="E119" s="73"/>
      <c r="F119" s="135">
        <v>5.16E-2</v>
      </c>
      <c r="G119" s="74">
        <f>$F93</f>
        <v>2000</v>
      </c>
      <c r="H119" s="136">
        <f t="shared" si="17"/>
        <v>103.2</v>
      </c>
      <c r="I119" s="76"/>
      <c r="J119" s="132">
        <v>0.1061</v>
      </c>
      <c r="K119" s="74">
        <f>$F93</f>
        <v>2000</v>
      </c>
      <c r="L119" s="136">
        <f t="shared" si="18"/>
        <v>212.2</v>
      </c>
      <c r="M119" s="76"/>
      <c r="N119" s="137">
        <f t="shared" si="13"/>
        <v>108.99999999999999</v>
      </c>
      <c r="O119" s="79">
        <f t="shared" si="14"/>
        <v>1.0562015503875968</v>
      </c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</row>
    <row r="120" spans="1:63" x14ac:dyDescent="0.3">
      <c r="B120" s="80" t="s">
        <v>36</v>
      </c>
      <c r="C120" s="73"/>
      <c r="D120" s="7" t="s">
        <v>27</v>
      </c>
      <c r="E120" s="73"/>
      <c r="F120" s="138"/>
      <c r="G120" s="18">
        <f>$F94*(1+$F149)-$F94</f>
        <v>26390</v>
      </c>
      <c r="H120" s="136">
        <f t="shared" si="17"/>
        <v>0</v>
      </c>
      <c r="I120" s="76"/>
      <c r="J120" s="138"/>
      <c r="K120" s="18">
        <f>$F94*(1+$J149)-$F94</f>
        <v>26320</v>
      </c>
      <c r="L120" s="136">
        <f t="shared" si="18"/>
        <v>0</v>
      </c>
      <c r="M120" s="76"/>
      <c r="N120" s="137">
        <f t="shared" si="13"/>
        <v>0</v>
      </c>
      <c r="O120" s="79" t="str">
        <f t="shared" si="14"/>
        <v/>
      </c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</row>
    <row r="121" spans="1:63" x14ac:dyDescent="0.3">
      <c r="B121" s="80" t="s">
        <v>37</v>
      </c>
      <c r="C121" s="73"/>
      <c r="D121" s="7" t="s">
        <v>24</v>
      </c>
      <c r="E121" s="73"/>
      <c r="F121" s="138">
        <v>0</v>
      </c>
      <c r="G121" s="74">
        <v>1</v>
      </c>
      <c r="H121" s="136">
        <f t="shared" si="17"/>
        <v>0</v>
      </c>
      <c r="I121" s="76"/>
      <c r="J121" s="138"/>
      <c r="K121" s="81">
        <v>1</v>
      </c>
      <c r="L121" s="136">
        <f t="shared" si="18"/>
        <v>0</v>
      </c>
      <c r="M121" s="76"/>
      <c r="N121" s="137">
        <f t="shared" si="13"/>
        <v>0</v>
      </c>
      <c r="O121" s="79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</row>
    <row r="122" spans="1:63" s="4" customFormat="1" x14ac:dyDescent="0.3">
      <c r="A122" s="60"/>
      <c r="B122" s="19" t="s">
        <v>38</v>
      </c>
      <c r="C122" s="20"/>
      <c r="D122" s="20"/>
      <c r="E122" s="20"/>
      <c r="F122" s="21"/>
      <c r="G122" s="22"/>
      <c r="H122" s="23">
        <f>SUM(H115:H121)+H114</f>
        <v>88320.6</v>
      </c>
      <c r="I122" s="13"/>
      <c r="J122" s="22"/>
      <c r="K122" s="24"/>
      <c r="L122" s="23">
        <f>SUM(L115:L121)+L114</f>
        <v>78123.37647058822</v>
      </c>
      <c r="M122" s="13"/>
      <c r="N122" s="15">
        <f t="shared" si="13"/>
        <v>-10197.223529411785</v>
      </c>
      <c r="O122" s="16">
        <f t="shared" ref="O122:O134" si="19">IF((H122)=0,"",(N122/H122))</f>
        <v>-0.11545690959313891</v>
      </c>
      <c r="P122" s="60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</row>
    <row r="123" spans="1:63" x14ac:dyDescent="0.3">
      <c r="B123" s="76" t="s">
        <v>39</v>
      </c>
      <c r="C123" s="76"/>
      <c r="D123" s="25" t="s">
        <v>67</v>
      </c>
      <c r="E123" s="76"/>
      <c r="F123" s="135">
        <v>2.3081</v>
      </c>
      <c r="G123" s="18">
        <f>F93*(1+F149)</f>
        <v>2075.4</v>
      </c>
      <c r="H123" s="136">
        <f>G123*F123</f>
        <v>4790.23074</v>
      </c>
      <c r="I123" s="76"/>
      <c r="J123" s="135">
        <f>+$J$48</f>
        <v>2.2892000000000001</v>
      </c>
      <c r="K123" s="18">
        <f>F93*(1+J149)</f>
        <v>2075.2000000000003</v>
      </c>
      <c r="L123" s="136">
        <f>K123*J123</f>
        <v>4750.5478400000011</v>
      </c>
      <c r="M123" s="76"/>
      <c r="N123" s="168">
        <f t="shared" si="13"/>
        <v>-39.682899999998881</v>
      </c>
      <c r="O123" s="79">
        <f t="shared" si="19"/>
        <v>-8.2841312149399462E-3</v>
      </c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</row>
    <row r="124" spans="1:63" x14ac:dyDescent="0.3">
      <c r="B124" s="85" t="s">
        <v>40</v>
      </c>
      <c r="C124" s="76"/>
      <c r="D124" s="25" t="s">
        <v>67</v>
      </c>
      <c r="E124" s="76"/>
      <c r="F124" s="135">
        <v>1.5656000000000001</v>
      </c>
      <c r="G124" s="18">
        <f>G123</f>
        <v>2075.4</v>
      </c>
      <c r="H124" s="136">
        <f>G124*F124</f>
        <v>3249.2462400000004</v>
      </c>
      <c r="I124" s="76"/>
      <c r="J124" s="135">
        <f>+$J$49</f>
        <v>1.5168999999999999</v>
      </c>
      <c r="K124" s="18">
        <f>K123</f>
        <v>2075.2000000000003</v>
      </c>
      <c r="L124" s="136">
        <f>K124*J124</f>
        <v>3147.8708800000004</v>
      </c>
      <c r="M124" s="76"/>
      <c r="N124" s="169">
        <f t="shared" si="13"/>
        <v>-101.37536</v>
      </c>
      <c r="O124" s="79">
        <f t="shared" si="19"/>
        <v>-3.1199654477402732E-2</v>
      </c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</row>
    <row r="125" spans="1:63" s="4" customFormat="1" x14ac:dyDescent="0.3">
      <c r="A125" s="60"/>
      <c r="B125" s="19" t="s">
        <v>41</v>
      </c>
      <c r="C125" s="20"/>
      <c r="D125" s="20"/>
      <c r="E125" s="20"/>
      <c r="F125" s="21"/>
      <c r="G125" s="22"/>
      <c r="H125" s="23">
        <f>SUM(H122:H124)</f>
        <v>96360.076980000013</v>
      </c>
      <c r="I125" s="13"/>
      <c r="J125" s="26"/>
      <c r="K125" s="22"/>
      <c r="L125" s="23">
        <f>SUM(L122:L124)</f>
        <v>86021.795190588222</v>
      </c>
      <c r="M125" s="13"/>
      <c r="N125" s="15">
        <f t="shared" si="13"/>
        <v>-10338.281789411791</v>
      </c>
      <c r="O125" s="16">
        <f t="shared" si="19"/>
        <v>-0.10728801920278197</v>
      </c>
      <c r="P125" s="60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</row>
    <row r="126" spans="1:63" x14ac:dyDescent="0.3">
      <c r="B126" s="86" t="s">
        <v>42</v>
      </c>
      <c r="C126" s="73"/>
      <c r="D126" s="7" t="s">
        <v>27</v>
      </c>
      <c r="E126" s="73"/>
      <c r="F126" s="135">
        <v>4.4000000000000003E-3</v>
      </c>
      <c r="G126" s="18">
        <f>F94*(1+F149)</f>
        <v>726390</v>
      </c>
      <c r="H126" s="139">
        <f t="shared" ref="H126:H134" si="20">G126*F126</f>
        <v>3196.116</v>
      </c>
      <c r="I126" s="76"/>
      <c r="J126" s="135">
        <f>+F126</f>
        <v>4.4000000000000003E-3</v>
      </c>
      <c r="K126" s="18">
        <f>F94*(1+J149)</f>
        <v>726320</v>
      </c>
      <c r="L126" s="139">
        <f t="shared" ref="L126:L134" si="21">K126*J126</f>
        <v>3195.808</v>
      </c>
      <c r="M126" s="76"/>
      <c r="N126" s="137">
        <f t="shared" si="13"/>
        <v>-0.30799999999999272</v>
      </c>
      <c r="O126" s="87">
        <f t="shared" si="19"/>
        <v>-9.6366965404257138E-5</v>
      </c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</row>
    <row r="127" spans="1:63" x14ac:dyDescent="0.3">
      <c r="B127" s="86" t="s">
        <v>43</v>
      </c>
      <c r="C127" s="73"/>
      <c r="D127" s="7" t="s">
        <v>27</v>
      </c>
      <c r="E127" s="73"/>
      <c r="F127" s="135">
        <v>1.1999999999999999E-3</v>
      </c>
      <c r="G127" s="18">
        <f>+G126</f>
        <v>726390</v>
      </c>
      <c r="H127" s="139">
        <f t="shared" si="20"/>
        <v>871.66799999999989</v>
      </c>
      <c r="I127" s="76"/>
      <c r="J127" s="135">
        <v>1.2999999999999999E-3</v>
      </c>
      <c r="K127" s="18">
        <f>+K126</f>
        <v>726320</v>
      </c>
      <c r="L127" s="139">
        <f t="shared" si="21"/>
        <v>944.21600000000001</v>
      </c>
      <c r="M127" s="76"/>
      <c r="N127" s="137">
        <f t="shared" si="13"/>
        <v>72.548000000000116</v>
      </c>
      <c r="O127" s="87">
        <f t="shared" si="19"/>
        <v>8.3228935787478864E-2</v>
      </c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</row>
    <row r="128" spans="1:63" x14ac:dyDescent="0.3">
      <c r="B128" s="73" t="s">
        <v>44</v>
      </c>
      <c r="C128" s="73"/>
      <c r="D128" s="7" t="s">
        <v>24</v>
      </c>
      <c r="E128" s="73"/>
      <c r="F128" s="135">
        <v>0.25</v>
      </c>
      <c r="G128" s="81">
        <v>1</v>
      </c>
      <c r="H128" s="139">
        <f t="shared" si="20"/>
        <v>0.25</v>
      </c>
      <c r="I128" s="76"/>
      <c r="J128" s="135">
        <f>+F128</f>
        <v>0.25</v>
      </c>
      <c r="K128" s="77">
        <v>1</v>
      </c>
      <c r="L128" s="139">
        <f t="shared" si="21"/>
        <v>0.25</v>
      </c>
      <c r="M128" s="76"/>
      <c r="N128" s="137">
        <f t="shared" si="13"/>
        <v>0</v>
      </c>
      <c r="O128" s="87">
        <f t="shared" si="19"/>
        <v>0</v>
      </c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</row>
    <row r="129" spans="1:63" x14ac:dyDescent="0.3">
      <c r="B129" s="73" t="s">
        <v>45</v>
      </c>
      <c r="C129" s="73"/>
      <c r="D129" s="7" t="s">
        <v>27</v>
      </c>
      <c r="E129" s="73"/>
      <c r="F129" s="135">
        <v>7.0000000000000001E-3</v>
      </c>
      <c r="G129" s="84">
        <f>F94</f>
        <v>700000</v>
      </c>
      <c r="H129" s="139">
        <f t="shared" si="20"/>
        <v>4900</v>
      </c>
      <c r="I129" s="76"/>
      <c r="J129" s="135">
        <f>+F129</f>
        <v>7.0000000000000001E-3</v>
      </c>
      <c r="K129" s="77">
        <f>F94</f>
        <v>700000</v>
      </c>
      <c r="L129" s="139">
        <f t="shared" si="21"/>
        <v>4900</v>
      </c>
      <c r="M129" s="76"/>
      <c r="N129" s="137">
        <f t="shared" si="13"/>
        <v>0</v>
      </c>
      <c r="O129" s="87">
        <f t="shared" si="19"/>
        <v>0</v>
      </c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</row>
    <row r="130" spans="1:63" x14ac:dyDescent="0.3">
      <c r="B130" s="80" t="s">
        <v>46</v>
      </c>
      <c r="C130" s="73"/>
      <c r="D130" s="7" t="s">
        <v>27</v>
      </c>
      <c r="E130" s="73"/>
      <c r="F130" s="138">
        <v>6.7000000000000004E-2</v>
      </c>
      <c r="G130" s="27">
        <f>0.64*$F94*(1+F149)</f>
        <v>464889.60000000003</v>
      </c>
      <c r="H130" s="139">
        <f t="shared" si="20"/>
        <v>31147.603200000005</v>
      </c>
      <c r="I130" s="76"/>
      <c r="J130" s="138">
        <v>6.7000000000000004E-2</v>
      </c>
      <c r="K130" s="27">
        <f>0.64*$F94*(1+J149)</f>
        <v>464844.80000000005</v>
      </c>
      <c r="L130" s="139">
        <f>K130*J130</f>
        <v>31144.601600000005</v>
      </c>
      <c r="M130" s="76"/>
      <c r="N130" s="137">
        <f t="shared" si="13"/>
        <v>-3.0015999999995984</v>
      </c>
      <c r="O130" s="87">
        <f t="shared" si="19"/>
        <v>-9.6366965404246513E-5</v>
      </c>
      <c r="Q130" s="126"/>
      <c r="R130" s="126"/>
      <c r="S130" s="127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</row>
    <row r="131" spans="1:63" x14ac:dyDescent="0.3">
      <c r="B131" s="80" t="s">
        <v>47</v>
      </c>
      <c r="C131" s="73"/>
      <c r="D131" s="7" t="s">
        <v>27</v>
      </c>
      <c r="E131" s="73"/>
      <c r="F131" s="138">
        <v>0.104</v>
      </c>
      <c r="G131" s="27">
        <f>0.18*$F94*(1+F149)</f>
        <v>130750.20000000001</v>
      </c>
      <c r="H131" s="139">
        <f t="shared" si="20"/>
        <v>13598.0208</v>
      </c>
      <c r="I131" s="76"/>
      <c r="J131" s="138">
        <v>0.104</v>
      </c>
      <c r="K131" s="27">
        <f>0.18*$F94*(1+J149)</f>
        <v>130737.60000000001</v>
      </c>
      <c r="L131" s="139">
        <f t="shared" si="21"/>
        <v>13596.7104</v>
      </c>
      <c r="M131" s="76"/>
      <c r="N131" s="137">
        <f t="shared" si="13"/>
        <v>-1.3104000000002998</v>
      </c>
      <c r="O131" s="87">
        <f t="shared" si="19"/>
        <v>-9.6366965404281465E-5</v>
      </c>
      <c r="Q131" s="126"/>
      <c r="R131" s="126"/>
      <c r="S131" s="127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</row>
    <row r="132" spans="1:63" x14ac:dyDescent="0.3">
      <c r="B132" s="64" t="s">
        <v>48</v>
      </c>
      <c r="C132" s="73"/>
      <c r="D132" s="7" t="s">
        <v>27</v>
      </c>
      <c r="E132" s="73"/>
      <c r="F132" s="138">
        <v>0.124</v>
      </c>
      <c r="G132" s="27">
        <f>0.18*$F94*(1+F149)</f>
        <v>130750.20000000001</v>
      </c>
      <c r="H132" s="139">
        <f t="shared" si="20"/>
        <v>16213.024800000001</v>
      </c>
      <c r="I132" s="76"/>
      <c r="J132" s="138">
        <v>0.124</v>
      </c>
      <c r="K132" s="27">
        <f>0.18*$F94*(1+J149)</f>
        <v>130737.60000000001</v>
      </c>
      <c r="L132" s="139">
        <f t="shared" si="21"/>
        <v>16211.4624</v>
      </c>
      <c r="M132" s="76"/>
      <c r="N132" s="137">
        <f t="shared" si="13"/>
        <v>-1.5624000000007072</v>
      </c>
      <c r="O132" s="87">
        <f t="shared" si="19"/>
        <v>-9.6366965404303041E-5</v>
      </c>
      <c r="Q132" s="126"/>
      <c r="R132" s="126"/>
      <c r="S132" s="127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</row>
    <row r="133" spans="1:63" s="92" customFormat="1" x14ac:dyDescent="0.25">
      <c r="B133" s="89" t="s">
        <v>49</v>
      </c>
      <c r="C133" s="90"/>
      <c r="D133" s="29" t="s">
        <v>27</v>
      </c>
      <c r="E133" s="90"/>
      <c r="F133" s="138">
        <v>7.4999999999999997E-2</v>
      </c>
      <c r="G133" s="30">
        <f>IF(AND($T$1=1, F94&gt;=750), 750, IF(AND($T$1=1, AND(F94&lt;750, F94&gt;=0)), F94, IF(AND($T$1=2, F94&gt;=750), 750, IF(AND($T$1=2, AND(F94&lt;750, F94&gt;=0)), F94))))*(1+F149)</f>
        <v>778.27500000000009</v>
      </c>
      <c r="H133" s="139">
        <f t="shared" si="20"/>
        <v>58.370625000000004</v>
      </c>
      <c r="I133" s="91"/>
      <c r="J133" s="138">
        <v>7.4999999999999997E-2</v>
      </c>
      <c r="K133" s="30">
        <f>IF(AND($T$1=1, F94&gt;=750), 750, IF(AND($T$1=1, AND(F94&lt;750, J94&gt;=0)), F94, IF(AND($T$1=2, F94&gt;=750), 750, IF(AND($T$1=2, AND(F94&lt;750, F94&gt;=0)), F94))))*(1+F149)</f>
        <v>778.27500000000009</v>
      </c>
      <c r="L133" s="139">
        <f t="shared" si="21"/>
        <v>58.370625000000004</v>
      </c>
      <c r="M133" s="91"/>
      <c r="N133" s="140">
        <f t="shared" si="13"/>
        <v>0</v>
      </c>
      <c r="O133" s="87">
        <f t="shared" si="19"/>
        <v>0</v>
      </c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</row>
    <row r="134" spans="1:63" s="92" customFormat="1" ht="15" thickBot="1" x14ac:dyDescent="0.3">
      <c r="B134" s="89" t="s">
        <v>50</v>
      </c>
      <c r="C134" s="90"/>
      <c r="D134" s="29" t="s">
        <v>27</v>
      </c>
      <c r="E134" s="90"/>
      <c r="F134" s="138">
        <v>8.7999999999999995E-2</v>
      </c>
      <c r="G134" s="30">
        <f>+F94*(1+F149)-G133</f>
        <v>725611.72499999998</v>
      </c>
      <c r="H134" s="139">
        <f t="shared" si="20"/>
        <v>63853.831799999993</v>
      </c>
      <c r="I134" s="91"/>
      <c r="J134" s="138">
        <v>8.7999999999999995E-2</v>
      </c>
      <c r="K134" s="30">
        <f>+F94*(1+J149)-K133</f>
        <v>725541.72499999998</v>
      </c>
      <c r="L134" s="139">
        <f t="shared" si="21"/>
        <v>63847.671799999996</v>
      </c>
      <c r="M134" s="91"/>
      <c r="N134" s="140">
        <f t="shared" si="13"/>
        <v>-6.1599999999962165</v>
      </c>
      <c r="O134" s="87">
        <f t="shared" si="19"/>
        <v>-9.6470326468273398E-5</v>
      </c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</row>
    <row r="135" spans="1:63" s="4" customFormat="1" ht="15" thickBot="1" x14ac:dyDescent="0.35">
      <c r="A135" s="60"/>
      <c r="B135" s="32"/>
      <c r="C135" s="33"/>
      <c r="D135" s="124"/>
      <c r="E135" s="33"/>
      <c r="F135" s="35"/>
      <c r="G135" s="36"/>
      <c r="H135" s="122"/>
      <c r="I135" s="123"/>
      <c r="J135" s="35"/>
      <c r="K135" s="39"/>
      <c r="L135" s="122"/>
      <c r="M135" s="123"/>
      <c r="N135" s="40"/>
      <c r="O135" s="41"/>
      <c r="P135" s="60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</row>
    <row r="136" spans="1:63" x14ac:dyDescent="0.3">
      <c r="B136" s="93" t="s">
        <v>51</v>
      </c>
      <c r="C136" s="73"/>
      <c r="D136" s="73"/>
      <c r="E136" s="73"/>
      <c r="F136" s="94"/>
      <c r="G136" s="95"/>
      <c r="H136" s="141">
        <f>SUM(H126:H132,H125)</f>
        <v>166286.75978000002</v>
      </c>
      <c r="I136" s="96"/>
      <c r="J136" s="97"/>
      <c r="K136" s="97"/>
      <c r="L136" s="144">
        <f>SUM(L126:L132,L125)</f>
        <v>156014.84359058825</v>
      </c>
      <c r="M136" s="145"/>
      <c r="N136" s="146">
        <f>L136-H136</f>
        <v>-10271.916189411771</v>
      </c>
      <c r="O136" s="98">
        <f>IF((H136)=0,"",(N136/H136))</f>
        <v>-6.1772303477448699E-2</v>
      </c>
      <c r="Q136" s="126"/>
      <c r="R136" s="126"/>
      <c r="S136" s="127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</row>
    <row r="137" spans="1:63" x14ac:dyDescent="0.3">
      <c r="B137" s="99" t="s">
        <v>52</v>
      </c>
      <c r="C137" s="73"/>
      <c r="D137" s="73"/>
      <c r="E137" s="73"/>
      <c r="F137" s="100">
        <v>0.13</v>
      </c>
      <c r="G137" s="101"/>
      <c r="H137" s="142">
        <f>H136*F137</f>
        <v>21617.278771400004</v>
      </c>
      <c r="I137" s="102"/>
      <c r="J137" s="103">
        <v>0.13</v>
      </c>
      <c r="K137" s="102"/>
      <c r="L137" s="147">
        <f>L136*J137</f>
        <v>20281.929666776472</v>
      </c>
      <c r="M137" s="148"/>
      <c r="N137" s="149">
        <f>L137-H137</f>
        <v>-1335.3491046235322</v>
      </c>
      <c r="O137" s="104">
        <f>IF((H137)=0,"",(N137/H137))</f>
        <v>-6.1772303477448783E-2</v>
      </c>
      <c r="Q137" s="126"/>
      <c r="R137" s="126"/>
      <c r="S137" s="127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</row>
    <row r="138" spans="1:63" x14ac:dyDescent="0.3">
      <c r="B138" s="105" t="s">
        <v>53</v>
      </c>
      <c r="C138" s="73"/>
      <c r="D138" s="73"/>
      <c r="E138" s="73"/>
      <c r="F138" s="106"/>
      <c r="G138" s="101"/>
      <c r="H138" s="142">
        <f>H136+H137</f>
        <v>187904.03855140004</v>
      </c>
      <c r="I138" s="102"/>
      <c r="J138" s="102"/>
      <c r="K138" s="102"/>
      <c r="L138" s="147">
        <f>L136+L137</f>
        <v>176296.77325736472</v>
      </c>
      <c r="M138" s="148"/>
      <c r="N138" s="149">
        <f>L138-H138</f>
        <v>-11607.265294035315</v>
      </c>
      <c r="O138" s="104">
        <f>IF((H138)=0,"",(N138/H138))</f>
        <v>-6.1772303477448762E-2</v>
      </c>
      <c r="Q138" s="126"/>
      <c r="R138" s="126"/>
      <c r="S138" s="127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</row>
    <row r="139" spans="1:63" ht="14.4" customHeight="1" x14ac:dyDescent="0.3">
      <c r="B139" s="172" t="s">
        <v>54</v>
      </c>
      <c r="C139" s="172"/>
      <c r="D139" s="172"/>
      <c r="E139" s="73"/>
      <c r="F139" s="106"/>
      <c r="G139" s="101"/>
      <c r="H139" s="143">
        <v>0</v>
      </c>
      <c r="I139" s="102"/>
      <c r="J139" s="102"/>
      <c r="K139" s="102"/>
      <c r="L139" s="150">
        <v>0</v>
      </c>
      <c r="M139" s="148"/>
      <c r="N139" s="151">
        <f>L139-H139</f>
        <v>0</v>
      </c>
      <c r="O139" s="107" t="str">
        <f>IF((H139)=0,"",(N139/H139))</f>
        <v/>
      </c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</row>
    <row r="140" spans="1:63" s="4" customFormat="1" ht="15" thickBot="1" x14ac:dyDescent="0.35">
      <c r="A140" s="60"/>
      <c r="B140" s="173" t="s">
        <v>55</v>
      </c>
      <c r="C140" s="173"/>
      <c r="D140" s="173"/>
      <c r="E140" s="42"/>
      <c r="F140" s="43"/>
      <c r="G140" s="44"/>
      <c r="H140" s="45">
        <f>H138+H139</f>
        <v>187904.03855140004</v>
      </c>
      <c r="I140" s="46"/>
      <c r="J140" s="46"/>
      <c r="K140" s="46"/>
      <c r="L140" s="47">
        <f>L138+L139</f>
        <v>176296.77325736472</v>
      </c>
      <c r="M140" s="48"/>
      <c r="N140" s="49">
        <f>L140-H140</f>
        <v>-11607.265294035315</v>
      </c>
      <c r="O140" s="50">
        <f>IF((H140)=0,"",(N140/H140))</f>
        <v>-6.1772303477448762E-2</v>
      </c>
      <c r="P140" s="60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</row>
    <row r="141" spans="1:63" s="4" customFormat="1" ht="15" thickBot="1" x14ac:dyDescent="0.35">
      <c r="A141" s="60"/>
      <c r="B141" s="32"/>
      <c r="C141" s="33"/>
      <c r="D141" s="34"/>
      <c r="E141" s="33"/>
      <c r="F141" s="35"/>
      <c r="G141" s="36"/>
      <c r="H141" s="37"/>
      <c r="I141" s="38"/>
      <c r="J141" s="35"/>
      <c r="K141" s="39"/>
      <c r="L141" s="37"/>
      <c r="M141" s="123"/>
      <c r="N141" s="40"/>
      <c r="O141" s="41"/>
      <c r="P141" s="60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</row>
    <row r="142" spans="1:63" s="92" customFormat="1" ht="13.2" x14ac:dyDescent="0.25">
      <c r="B142" s="108" t="s">
        <v>56</v>
      </c>
      <c r="C142" s="90"/>
      <c r="D142" s="90"/>
      <c r="E142" s="90"/>
      <c r="F142" s="109"/>
      <c r="G142" s="110"/>
      <c r="H142" s="152">
        <f>SUM(H133:H134,H125,H126:H129)</f>
        <v>169240.31340500002</v>
      </c>
      <c r="I142" s="111"/>
      <c r="J142" s="112"/>
      <c r="K142" s="112"/>
      <c r="L142" s="155">
        <f>SUM(L133:L134,L125,L126:L129)</f>
        <v>158968.11161558819</v>
      </c>
      <c r="M142" s="156"/>
      <c r="N142" s="157">
        <f>L142-H142</f>
        <v>-10272.201789411833</v>
      </c>
      <c r="O142" s="98">
        <f>IF((H142)=0,"",(N142/H142))</f>
        <v>-6.0695951116741143E-2</v>
      </c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</row>
    <row r="143" spans="1:63" s="92" customFormat="1" ht="13.2" x14ac:dyDescent="0.25">
      <c r="B143" s="113" t="s">
        <v>52</v>
      </c>
      <c r="C143" s="90"/>
      <c r="D143" s="90"/>
      <c r="E143" s="90"/>
      <c r="F143" s="114">
        <v>0.13</v>
      </c>
      <c r="G143" s="110"/>
      <c r="H143" s="153">
        <f>H142*F143</f>
        <v>22001.240742650003</v>
      </c>
      <c r="I143" s="115"/>
      <c r="J143" s="116">
        <v>0.13</v>
      </c>
      <c r="K143" s="117"/>
      <c r="L143" s="158">
        <f>L142*J143</f>
        <v>20665.854510026464</v>
      </c>
      <c r="M143" s="159"/>
      <c r="N143" s="160">
        <f>L143-H143</f>
        <v>-1335.3862326235394</v>
      </c>
      <c r="O143" s="104">
        <f>IF((H143)=0,"",(N143/H143))</f>
        <v>-6.0695951116741198E-2</v>
      </c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</row>
    <row r="144" spans="1:63" s="92" customFormat="1" ht="13.2" x14ac:dyDescent="0.25">
      <c r="B144" s="118" t="s">
        <v>53</v>
      </c>
      <c r="C144" s="90"/>
      <c r="D144" s="90"/>
      <c r="E144" s="90"/>
      <c r="F144" s="119"/>
      <c r="G144" s="120"/>
      <c r="H144" s="153">
        <f>H142+H143</f>
        <v>191241.55414765002</v>
      </c>
      <c r="I144" s="115"/>
      <c r="J144" s="115"/>
      <c r="K144" s="115"/>
      <c r="L144" s="158">
        <f>L142+L143</f>
        <v>179633.96612561465</v>
      </c>
      <c r="M144" s="159"/>
      <c r="N144" s="160">
        <f>L144-H144</f>
        <v>-11607.588022035372</v>
      </c>
      <c r="O144" s="104">
        <f>IF((H144)=0,"",(N144/H144))</f>
        <v>-6.0695951116741149E-2</v>
      </c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</row>
    <row r="145" spans="1:63" s="92" customFormat="1" ht="13.2" customHeight="1" x14ac:dyDescent="0.25">
      <c r="B145" s="174" t="s">
        <v>54</v>
      </c>
      <c r="C145" s="174"/>
      <c r="D145" s="174"/>
      <c r="E145" s="90"/>
      <c r="F145" s="119"/>
      <c r="G145" s="120"/>
      <c r="H145" s="154">
        <v>0</v>
      </c>
      <c r="I145" s="115"/>
      <c r="J145" s="115"/>
      <c r="K145" s="115"/>
      <c r="L145" s="161">
        <v>0</v>
      </c>
      <c r="M145" s="159"/>
      <c r="N145" s="162">
        <f>L145-H145</f>
        <v>0</v>
      </c>
      <c r="O145" s="107" t="str">
        <f>IF((H145)=0,"",(N145/H145))</f>
        <v/>
      </c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</row>
    <row r="146" spans="1:63" s="4" customFormat="1" ht="15" thickBot="1" x14ac:dyDescent="0.35">
      <c r="A146" s="60"/>
      <c r="B146" s="173" t="s">
        <v>57</v>
      </c>
      <c r="C146" s="173"/>
      <c r="D146" s="173"/>
      <c r="E146" s="42"/>
      <c r="F146" s="43"/>
      <c r="G146" s="44"/>
      <c r="H146" s="45">
        <f>SUM(H144:H145)</f>
        <v>191241.55414765002</v>
      </c>
      <c r="I146" s="46"/>
      <c r="J146" s="46"/>
      <c r="K146" s="46"/>
      <c r="L146" s="47">
        <f>SUM(L144:L145)</f>
        <v>179633.96612561465</v>
      </c>
      <c r="M146" s="48"/>
      <c r="N146" s="49">
        <f>L146-H146</f>
        <v>-11607.588022035372</v>
      </c>
      <c r="O146" s="50">
        <f>IF((H146)=0,"",(N146/H146))</f>
        <v>-6.0695951116741149E-2</v>
      </c>
      <c r="P146" s="60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</row>
    <row r="147" spans="1:63" s="4" customFormat="1" ht="15" thickBot="1" x14ac:dyDescent="0.35">
      <c r="A147" s="60"/>
      <c r="B147" s="32"/>
      <c r="C147" s="33"/>
      <c r="D147" s="34"/>
      <c r="E147" s="33"/>
      <c r="F147" s="35"/>
      <c r="G147" s="36"/>
      <c r="H147" s="122"/>
      <c r="I147" s="123"/>
      <c r="J147" s="35"/>
      <c r="K147" s="39"/>
      <c r="L147" s="37"/>
      <c r="M147" s="123"/>
      <c r="N147" s="40"/>
      <c r="O147" s="41"/>
      <c r="P147" s="60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</row>
    <row r="148" spans="1:63" x14ac:dyDescent="0.3">
      <c r="L148" s="88"/>
    </row>
    <row r="149" spans="1:63" x14ac:dyDescent="0.3">
      <c r="B149" s="65" t="s">
        <v>58</v>
      </c>
      <c r="F149" s="51">
        <v>3.7699999999999997E-2</v>
      </c>
      <c r="J149" s="51">
        <f>+Residential!$J$74</f>
        <v>3.7600000000000001E-2</v>
      </c>
    </row>
    <row r="151" spans="1:63" x14ac:dyDescent="0.3">
      <c r="L151" s="56"/>
      <c r="M151" s="56"/>
      <c r="N151" s="56"/>
      <c r="O151" s="56"/>
      <c r="P151" s="56"/>
    </row>
    <row r="152" spans="1:63" ht="16.2" x14ac:dyDescent="0.3">
      <c r="A152" s="121" t="s">
        <v>59</v>
      </c>
    </row>
    <row r="154" spans="1:63" x14ac:dyDescent="0.3">
      <c r="A154" s="60" t="s">
        <v>60</v>
      </c>
    </row>
    <row r="155" spans="1:63" x14ac:dyDescent="0.3">
      <c r="A155" s="60" t="s">
        <v>61</v>
      </c>
    </row>
    <row r="157" spans="1:63" x14ac:dyDescent="0.3">
      <c r="B157" s="60" t="s">
        <v>62</v>
      </c>
    </row>
  </sheetData>
  <mergeCells count="27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  <mergeCell ref="B85:O85"/>
    <mergeCell ref="B86:O86"/>
    <mergeCell ref="D89:O89"/>
    <mergeCell ref="F95:H95"/>
    <mergeCell ref="J95:L95"/>
    <mergeCell ref="N95:O95"/>
    <mergeCell ref="B145:D145"/>
    <mergeCell ref="B146:D146"/>
    <mergeCell ref="D96:D97"/>
    <mergeCell ref="N96:N97"/>
    <mergeCell ref="O96:O97"/>
    <mergeCell ref="B139:D139"/>
    <mergeCell ref="B140:D140"/>
  </mergeCells>
  <dataValidations count="3">
    <dataValidation type="list" allowBlank="1" showInputMessage="1" showErrorMessage="1" sqref="D16 D91">
      <formula1>"TOU, non-TOU"</formula1>
    </dataValidation>
    <dataValidation type="list" allowBlank="1" showInputMessage="1" showErrorMessage="1" sqref="E72 E66 E48:E49 E40:E46 E23:E38 E51:E60 E147 E141 E123:E124 E115:E121 E98:E113 E126:E135">
      <formula1>#REF!</formula1>
    </dataValidation>
    <dataValidation type="list" allowBlank="1" showInputMessage="1" showErrorMessage="1" prompt="Select Charge Unit - monthly, per kWh, per kW" sqref="D48:D49 D40:D46 D66 D23:D38 D72 D51:D60 D123:D124 D115:D121 D141 D98:D113 D147 D126:D135">
      <formula1>"Monthly, per kWh, per kW"</formula1>
    </dataValidation>
  </dataValidations>
  <pageMargins left="0.7" right="0.7" top="0.75" bottom="0.75" header="0.3" footer="0.3"/>
  <pageSetup scale="48" fitToHeight="0" orientation="portrait" r:id="rId1"/>
  <rowBreaks count="1" manualBreakCount="1">
    <brk id="8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3" r:id="rId4" name="Option Button 23">
              <controlPr defaultSize="0" autoFill="0" autoLine="0" autoPict="0">
                <anchor moveWithCells="1">
                  <from>
                    <xdr:col>1</xdr:col>
                    <xdr:colOff>1287780</xdr:colOff>
                    <xdr:row>24</xdr:row>
                    <xdr:rowOff>137160</xdr:rowOff>
                  </from>
                  <to>
                    <xdr:col>1</xdr:col>
                    <xdr:colOff>1470660</xdr:colOff>
                    <xdr:row>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5" name="Option Button 43">
              <controlPr defaultSize="0" autoFill="0" autoLine="0" autoPict="0">
                <anchor moveWithCells="1">
                  <from>
                    <xdr:col>3</xdr:col>
                    <xdr:colOff>365760</xdr:colOff>
                    <xdr:row>46</xdr:row>
                    <xdr:rowOff>99060</xdr:rowOff>
                  </from>
                  <to>
                    <xdr:col>6</xdr:col>
                    <xdr:colOff>807720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6" name="Option Button 44">
              <controlPr defaultSize="0" autoFill="0" autoLine="0" autoPict="0">
                <anchor moveWithCells="1">
                  <from>
                    <xdr:col>1</xdr:col>
                    <xdr:colOff>2461260</xdr:colOff>
                    <xdr:row>46</xdr:row>
                    <xdr:rowOff>76200</xdr:rowOff>
                  </from>
                  <to>
                    <xdr:col>1</xdr:col>
                    <xdr:colOff>3208020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7" name="Option Button 45">
              <controlPr defaultSize="0" autoFill="0" autoLine="0" autoPict="0">
                <anchor moveWithCells="1">
                  <from>
                    <xdr:col>5</xdr:col>
                    <xdr:colOff>411480</xdr:colOff>
                    <xdr:row>14</xdr:row>
                    <xdr:rowOff>38100</xdr:rowOff>
                  </from>
                  <to>
                    <xdr:col>7</xdr:col>
                    <xdr:colOff>594360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8" name="Option Button 46">
              <controlPr defaultSize="0" autoFill="0" autoLine="0" autoPict="0">
                <anchor moveWithCells="1">
                  <from>
                    <xdr:col>7</xdr:col>
                    <xdr:colOff>228600</xdr:colOff>
                    <xdr:row>14</xdr:row>
                    <xdr:rowOff>22860</xdr:rowOff>
                  </from>
                  <to>
                    <xdr:col>14</xdr:col>
                    <xdr:colOff>457200</xdr:colOff>
                    <xdr:row>15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K82"/>
  <sheetViews>
    <sheetView view="pageBreakPreview" topLeftCell="A33" zoomScaleNormal="80" zoomScaleSheetLayoutView="100" workbookViewId="0">
      <selection activeCell="B34" sqref="B34:B36"/>
    </sheetView>
  </sheetViews>
  <sheetFormatPr defaultColWidth="9.109375" defaultRowHeight="14.4" x14ac:dyDescent="0.3"/>
  <cols>
    <col min="1" max="1" width="4.44140625" style="60" customWidth="1"/>
    <col min="2" max="2" width="53.77734375" style="60" customWidth="1"/>
    <col min="3" max="3" width="1.33203125" style="60" customWidth="1"/>
    <col min="4" max="4" width="11.33203125" style="60" customWidth="1"/>
    <col min="5" max="5" width="1.33203125" style="60" customWidth="1"/>
    <col min="6" max="6" width="12.33203125" style="60" customWidth="1"/>
    <col min="7" max="7" width="14.44140625" style="60" bestFit="1" customWidth="1"/>
    <col min="8" max="8" width="14.88671875" style="60" customWidth="1"/>
    <col min="9" max="9" width="2.88671875" style="60" customWidth="1"/>
    <col min="10" max="10" width="12.109375" style="60" customWidth="1"/>
    <col min="11" max="11" width="12" style="60" customWidth="1"/>
    <col min="12" max="12" width="15.33203125" style="60" customWidth="1"/>
    <col min="13" max="13" width="2.88671875" style="60" customWidth="1"/>
    <col min="14" max="14" width="12.6640625" style="60" bestFit="1" customWidth="1"/>
    <col min="15" max="15" width="13.6640625" style="60" customWidth="1"/>
    <col min="16" max="16" width="3.88671875" style="60" customWidth="1"/>
    <col min="17" max="19" width="9.109375" style="60"/>
    <col min="20" max="20" width="9.109375" style="60" customWidth="1"/>
    <col min="21" max="16384" width="9.109375" style="60"/>
  </cols>
  <sheetData>
    <row r="1" spans="1:20" s="53" customFormat="1" ht="9.6" hidden="1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N1" s="54" t="s">
        <v>0</v>
      </c>
      <c r="O1" s="55" t="s">
        <v>76</v>
      </c>
      <c r="P1" s="56"/>
      <c r="T1" s="53">
        <v>1</v>
      </c>
    </row>
    <row r="2" spans="1:20" s="53" customFormat="1" ht="9.6" hidden="1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N2" s="54" t="s">
        <v>1</v>
      </c>
      <c r="O2" s="2"/>
      <c r="P2" s="56"/>
    </row>
    <row r="3" spans="1:20" s="53" customFormat="1" ht="9.6" hidden="1" customHeigh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N3" s="54" t="s">
        <v>2</v>
      </c>
      <c r="O3" s="2"/>
      <c r="P3" s="56"/>
    </row>
    <row r="4" spans="1:20" s="53" customFormat="1" ht="9.6" hidden="1" customHeight="1" x14ac:dyDescent="0.3">
      <c r="A4" s="57"/>
      <c r="B4" s="57"/>
      <c r="C4" s="57"/>
      <c r="D4" s="57"/>
      <c r="E4" s="57"/>
      <c r="F4" s="57"/>
      <c r="G4" s="57"/>
      <c r="H4" s="57"/>
      <c r="I4" s="58"/>
      <c r="J4" s="58"/>
      <c r="K4" s="58"/>
      <c r="N4" s="54" t="s">
        <v>3</v>
      </c>
      <c r="O4" s="2"/>
      <c r="P4" s="56"/>
    </row>
    <row r="5" spans="1:20" s="53" customFormat="1" ht="9.6" hidden="1" customHeight="1" x14ac:dyDescent="0.3">
      <c r="C5" s="59"/>
      <c r="D5" s="59"/>
      <c r="E5" s="59"/>
      <c r="N5" s="54" t="s">
        <v>4</v>
      </c>
      <c r="O5" s="3"/>
      <c r="P5" s="56"/>
    </row>
    <row r="6" spans="1:20" s="53" customFormat="1" ht="9.6" hidden="1" customHeight="1" x14ac:dyDescent="0.3">
      <c r="N6" s="54"/>
      <c r="O6" s="1"/>
      <c r="P6" s="56"/>
    </row>
    <row r="7" spans="1:20" s="53" customFormat="1" hidden="1" x14ac:dyDescent="0.3">
      <c r="N7" s="54" t="s">
        <v>5</v>
      </c>
      <c r="O7" s="3"/>
      <c r="P7" s="56"/>
    </row>
    <row r="8" spans="1:20" s="53" customFormat="1" ht="15" hidden="1" customHeight="1" x14ac:dyDescent="0.3">
      <c r="N8" s="60"/>
      <c r="O8" s="56"/>
      <c r="P8" s="56"/>
    </row>
    <row r="9" spans="1:20" ht="7.5" customHeight="1" x14ac:dyDescent="0.3">
      <c r="L9" s="56"/>
      <c r="M9" s="56"/>
      <c r="N9" s="56"/>
      <c r="O9" s="56"/>
      <c r="P9" s="56"/>
    </row>
    <row r="10" spans="1:20" ht="18.75" customHeight="1" x14ac:dyDescent="0.3">
      <c r="B10" s="175" t="s">
        <v>6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56"/>
    </row>
    <row r="11" spans="1:20" ht="18.75" customHeight="1" x14ac:dyDescent="0.3">
      <c r="B11" s="175" t="s">
        <v>7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56"/>
    </row>
    <row r="12" spans="1:20" ht="7.5" customHeight="1" x14ac:dyDescent="0.3">
      <c r="L12" s="56"/>
      <c r="M12" s="56"/>
      <c r="N12" s="56"/>
      <c r="O12" s="56"/>
      <c r="P12" s="56"/>
    </row>
    <row r="13" spans="1:20" ht="7.5" customHeight="1" x14ac:dyDescent="0.3">
      <c r="L13" s="56"/>
      <c r="M13" s="56"/>
      <c r="N13" s="56"/>
      <c r="O13" s="56"/>
      <c r="P13" s="56"/>
    </row>
    <row r="14" spans="1:20" ht="15.6" x14ac:dyDescent="0.3">
      <c r="B14" s="61" t="s">
        <v>8</v>
      </c>
      <c r="D14" s="185" t="s">
        <v>74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</row>
    <row r="15" spans="1:20" ht="7.5" customHeight="1" x14ac:dyDescent="0.3">
      <c r="B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20" ht="15.6" x14ac:dyDescent="0.3">
      <c r="B16" s="61" t="s">
        <v>9</v>
      </c>
      <c r="D16" s="5" t="s">
        <v>63</v>
      </c>
      <c r="E16" s="63"/>
      <c r="F16" s="63"/>
      <c r="G16" s="53"/>
      <c r="H16" s="63"/>
      <c r="I16" s="63"/>
      <c r="J16" s="63"/>
      <c r="K16" s="63"/>
      <c r="L16" s="63"/>
      <c r="M16" s="63"/>
      <c r="N16" s="63"/>
      <c r="O16" s="63"/>
    </row>
    <row r="17" spans="2:29" ht="15.6" x14ac:dyDescent="0.3">
      <c r="B17" s="62"/>
      <c r="D17" s="63"/>
      <c r="E17" s="63"/>
      <c r="F17" s="6">
        <v>160</v>
      </c>
      <c r="G17" s="65" t="s">
        <v>73</v>
      </c>
      <c r="H17" s="63"/>
      <c r="I17" s="63"/>
      <c r="J17" s="63"/>
      <c r="K17" s="63"/>
      <c r="L17" s="63"/>
      <c r="M17" s="63"/>
      <c r="N17" s="63"/>
      <c r="O17" s="63"/>
    </row>
    <row r="18" spans="2:29" x14ac:dyDescent="0.3">
      <c r="B18" s="64"/>
      <c r="D18" s="65" t="s">
        <v>11</v>
      </c>
      <c r="E18" s="65"/>
      <c r="F18" s="6">
        <f>300/12</f>
        <v>25</v>
      </c>
      <c r="G18" s="65" t="s">
        <v>64</v>
      </c>
    </row>
    <row r="19" spans="2:29" x14ac:dyDescent="0.3">
      <c r="B19" s="64"/>
      <c r="F19" s="6">
        <f>120000/12</f>
        <v>10000</v>
      </c>
      <c r="G19" s="65" t="s">
        <v>12</v>
      </c>
    </row>
    <row r="20" spans="2:29" x14ac:dyDescent="0.3">
      <c r="B20" s="64"/>
      <c r="D20" s="66"/>
      <c r="E20" s="66"/>
      <c r="F20" s="176" t="s">
        <v>13</v>
      </c>
      <c r="G20" s="177"/>
      <c r="H20" s="178"/>
      <c r="J20" s="176" t="s">
        <v>14</v>
      </c>
      <c r="K20" s="177"/>
      <c r="L20" s="178"/>
      <c r="N20" s="176" t="s">
        <v>15</v>
      </c>
      <c r="O20" s="178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</row>
    <row r="21" spans="2:29" x14ac:dyDescent="0.3">
      <c r="B21" s="64"/>
      <c r="D21" s="179" t="s">
        <v>16</v>
      </c>
      <c r="E21" s="67"/>
      <c r="F21" s="68" t="s">
        <v>17</v>
      </c>
      <c r="G21" s="68" t="s">
        <v>18</v>
      </c>
      <c r="H21" s="69" t="s">
        <v>19</v>
      </c>
      <c r="J21" s="68" t="s">
        <v>17</v>
      </c>
      <c r="K21" s="70" t="s">
        <v>18</v>
      </c>
      <c r="L21" s="69" t="s">
        <v>19</v>
      </c>
      <c r="N21" s="181" t="s">
        <v>20</v>
      </c>
      <c r="O21" s="183" t="s">
        <v>21</v>
      </c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</row>
    <row r="22" spans="2:29" x14ac:dyDescent="0.3">
      <c r="B22" s="64"/>
      <c r="D22" s="180"/>
      <c r="E22" s="67"/>
      <c r="F22" s="71" t="s">
        <v>22</v>
      </c>
      <c r="G22" s="71"/>
      <c r="H22" s="72" t="s">
        <v>22</v>
      </c>
      <c r="J22" s="71" t="s">
        <v>22</v>
      </c>
      <c r="K22" s="72"/>
      <c r="L22" s="72" t="s">
        <v>22</v>
      </c>
      <c r="N22" s="182"/>
      <c r="O22" s="184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</row>
    <row r="23" spans="2:29" x14ac:dyDescent="0.3">
      <c r="B23" s="73" t="s">
        <v>23</v>
      </c>
      <c r="C23" s="73"/>
      <c r="D23" s="7" t="s">
        <v>24</v>
      </c>
      <c r="E23" s="73"/>
      <c r="F23" s="129">
        <v>2.95</v>
      </c>
      <c r="G23" s="74">
        <f>+F17</f>
        <v>160</v>
      </c>
      <c r="H23" s="75">
        <f t="shared" ref="H23:H38" si="0">G23*F23</f>
        <v>472</v>
      </c>
      <c r="I23" s="76"/>
      <c r="J23" s="129">
        <v>2.69</v>
      </c>
      <c r="K23" s="77">
        <f>+F17</f>
        <v>160</v>
      </c>
      <c r="L23" s="75">
        <f t="shared" ref="L23:L38" si="1">K23*J23</f>
        <v>430.4</v>
      </c>
      <c r="M23" s="76"/>
      <c r="N23" s="78">
        <f t="shared" ref="N23:N59" si="2">L23-H23</f>
        <v>-41.600000000000023</v>
      </c>
      <c r="O23" s="79">
        <f t="shared" ref="O23:O45" si="3">IF((H23)=0,"",(N23/H23))</f>
        <v>-8.8135593220339037E-2</v>
      </c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</row>
    <row r="24" spans="2:29" x14ac:dyDescent="0.3">
      <c r="B24" s="73" t="s">
        <v>25</v>
      </c>
      <c r="C24" s="73"/>
      <c r="D24" s="7" t="s">
        <v>24</v>
      </c>
      <c r="E24" s="73"/>
      <c r="F24" s="133"/>
      <c r="G24" s="74">
        <v>1</v>
      </c>
      <c r="H24" s="136">
        <f t="shared" si="0"/>
        <v>0</v>
      </c>
      <c r="I24" s="76"/>
      <c r="J24" s="130"/>
      <c r="K24" s="77">
        <v>1</v>
      </c>
      <c r="L24" s="136">
        <f t="shared" si="1"/>
        <v>0</v>
      </c>
      <c r="M24" s="76"/>
      <c r="N24" s="137">
        <f t="shared" si="2"/>
        <v>0</v>
      </c>
      <c r="O24" s="79" t="str">
        <f t="shared" si="3"/>
        <v/>
      </c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</row>
    <row r="25" spans="2:29" x14ac:dyDescent="0.3">
      <c r="B25" s="9"/>
      <c r="C25" s="73"/>
      <c r="D25" s="7"/>
      <c r="E25" s="73"/>
      <c r="F25" s="134"/>
      <c r="G25" s="74">
        <v>1</v>
      </c>
      <c r="H25" s="136">
        <f t="shared" si="0"/>
        <v>0</v>
      </c>
      <c r="I25" s="76"/>
      <c r="J25" s="131"/>
      <c r="K25" s="77">
        <v>1</v>
      </c>
      <c r="L25" s="136">
        <f t="shared" si="1"/>
        <v>0</v>
      </c>
      <c r="M25" s="76"/>
      <c r="N25" s="137">
        <f t="shared" si="2"/>
        <v>0</v>
      </c>
      <c r="O25" s="79" t="str">
        <f t="shared" si="3"/>
        <v/>
      </c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</row>
    <row r="26" spans="2:29" x14ac:dyDescent="0.3">
      <c r="B26" s="9"/>
      <c r="C26" s="73"/>
      <c r="D26" s="7"/>
      <c r="E26" s="73"/>
      <c r="F26" s="134"/>
      <c r="G26" s="74">
        <v>1</v>
      </c>
      <c r="H26" s="136">
        <f t="shared" si="0"/>
        <v>0</v>
      </c>
      <c r="I26" s="76"/>
      <c r="J26" s="131"/>
      <c r="K26" s="77">
        <v>1</v>
      </c>
      <c r="L26" s="136">
        <f t="shared" si="1"/>
        <v>0</v>
      </c>
      <c r="M26" s="76"/>
      <c r="N26" s="137">
        <f t="shared" si="2"/>
        <v>0</v>
      </c>
      <c r="O26" s="79" t="str">
        <f t="shared" si="3"/>
        <v/>
      </c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</row>
    <row r="27" spans="2:29" x14ac:dyDescent="0.3">
      <c r="B27" s="10"/>
      <c r="C27" s="73"/>
      <c r="D27" s="7"/>
      <c r="E27" s="73"/>
      <c r="F27" s="134"/>
      <c r="G27" s="74">
        <v>1</v>
      </c>
      <c r="H27" s="136">
        <f t="shared" si="0"/>
        <v>0</v>
      </c>
      <c r="I27" s="76"/>
      <c r="J27" s="131"/>
      <c r="K27" s="77">
        <v>1</v>
      </c>
      <c r="L27" s="136">
        <f t="shared" si="1"/>
        <v>0</v>
      </c>
      <c r="M27" s="76"/>
      <c r="N27" s="137">
        <f t="shared" si="2"/>
        <v>0</v>
      </c>
      <c r="O27" s="79" t="str">
        <f t="shared" si="3"/>
        <v/>
      </c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</row>
    <row r="28" spans="2:29" x14ac:dyDescent="0.3">
      <c r="B28" s="10"/>
      <c r="C28" s="73"/>
      <c r="D28" s="7"/>
      <c r="E28" s="73"/>
      <c r="F28" s="134"/>
      <c r="G28" s="74">
        <v>1</v>
      </c>
      <c r="H28" s="136">
        <f t="shared" si="0"/>
        <v>0</v>
      </c>
      <c r="I28" s="76"/>
      <c r="J28" s="131"/>
      <c r="K28" s="77">
        <v>1</v>
      </c>
      <c r="L28" s="136">
        <f t="shared" si="1"/>
        <v>0</v>
      </c>
      <c r="M28" s="76"/>
      <c r="N28" s="137">
        <f t="shared" si="2"/>
        <v>0</v>
      </c>
      <c r="O28" s="79" t="str">
        <f t="shared" si="3"/>
        <v/>
      </c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</row>
    <row r="29" spans="2:29" x14ac:dyDescent="0.3">
      <c r="B29" s="73" t="s">
        <v>26</v>
      </c>
      <c r="C29" s="73"/>
      <c r="D29" s="7" t="s">
        <v>67</v>
      </c>
      <c r="E29" s="73"/>
      <c r="F29" s="135">
        <v>50.058900000000001</v>
      </c>
      <c r="G29" s="74">
        <f>$F$18</f>
        <v>25</v>
      </c>
      <c r="H29" s="136">
        <f t="shared" si="0"/>
        <v>1251.4725000000001</v>
      </c>
      <c r="I29" s="76"/>
      <c r="J29" s="132">
        <v>45.5762</v>
      </c>
      <c r="K29" s="74">
        <f>$F$18</f>
        <v>25</v>
      </c>
      <c r="L29" s="136">
        <f t="shared" si="1"/>
        <v>1139.405</v>
      </c>
      <c r="M29" s="76"/>
      <c r="N29" s="137">
        <f t="shared" si="2"/>
        <v>-112.06750000000011</v>
      </c>
      <c r="O29" s="79">
        <f t="shared" si="3"/>
        <v>-8.9548511853037208E-2</v>
      </c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</row>
    <row r="30" spans="2:29" x14ac:dyDescent="0.3">
      <c r="B30" s="73" t="s">
        <v>28</v>
      </c>
      <c r="C30" s="73"/>
      <c r="D30" s="7" t="s">
        <v>24</v>
      </c>
      <c r="E30" s="73"/>
      <c r="F30" s="135"/>
      <c r="G30" s="74">
        <v>1</v>
      </c>
      <c r="H30" s="136">
        <f t="shared" si="0"/>
        <v>0</v>
      </c>
      <c r="I30" s="76"/>
      <c r="J30" s="132"/>
      <c r="K30" s="74">
        <v>1</v>
      </c>
      <c r="L30" s="136">
        <f t="shared" si="1"/>
        <v>0</v>
      </c>
      <c r="M30" s="76"/>
      <c r="N30" s="137">
        <f t="shared" si="2"/>
        <v>0</v>
      </c>
      <c r="O30" s="79" t="str">
        <f t="shared" si="3"/>
        <v/>
      </c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</row>
    <row r="31" spans="2:29" x14ac:dyDescent="0.3">
      <c r="B31" s="73" t="s">
        <v>29</v>
      </c>
      <c r="C31" s="73"/>
      <c r="D31" s="7" t="s">
        <v>67</v>
      </c>
      <c r="E31" s="73"/>
      <c r="F31" s="135"/>
      <c r="G31" s="74">
        <f t="shared" ref="G31:G38" si="4">$F$18</f>
        <v>25</v>
      </c>
      <c r="H31" s="136">
        <f t="shared" si="0"/>
        <v>0</v>
      </c>
      <c r="I31" s="76"/>
      <c r="J31" s="132">
        <v>0</v>
      </c>
      <c r="K31" s="74">
        <f t="shared" ref="K31:K38" si="5">$F$18</f>
        <v>25</v>
      </c>
      <c r="L31" s="136">
        <f t="shared" si="1"/>
        <v>0</v>
      </c>
      <c r="M31" s="76"/>
      <c r="N31" s="137">
        <f t="shared" si="2"/>
        <v>0</v>
      </c>
      <c r="O31" s="79" t="str">
        <f t="shared" si="3"/>
        <v/>
      </c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</row>
    <row r="32" spans="2:29" x14ac:dyDescent="0.3">
      <c r="B32" s="11" t="s">
        <v>30</v>
      </c>
      <c r="C32" s="73"/>
      <c r="D32" s="7" t="s">
        <v>67</v>
      </c>
      <c r="E32" s="73"/>
      <c r="F32" s="135">
        <v>2.0569000000000002</v>
      </c>
      <c r="G32" s="74">
        <f t="shared" si="4"/>
        <v>25</v>
      </c>
      <c r="H32" s="136">
        <f t="shared" si="0"/>
        <v>51.422500000000007</v>
      </c>
      <c r="I32" s="76"/>
      <c r="J32" s="132"/>
      <c r="K32" s="74">
        <f t="shared" si="5"/>
        <v>25</v>
      </c>
      <c r="L32" s="136">
        <f t="shared" si="1"/>
        <v>0</v>
      </c>
      <c r="M32" s="76"/>
      <c r="N32" s="137">
        <f t="shared" si="2"/>
        <v>-51.422500000000007</v>
      </c>
      <c r="O32" s="79">
        <f t="shared" si="3"/>
        <v>-1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</row>
    <row r="33" spans="1:63" x14ac:dyDescent="0.3">
      <c r="B33" s="11" t="s">
        <v>31</v>
      </c>
      <c r="C33" s="73"/>
      <c r="D33" s="7" t="s">
        <v>67</v>
      </c>
      <c r="E33" s="73"/>
      <c r="F33" s="135">
        <v>-0.74970000000000003</v>
      </c>
      <c r="G33" s="74">
        <f t="shared" si="4"/>
        <v>25</v>
      </c>
      <c r="H33" s="136">
        <f t="shared" si="0"/>
        <v>-18.7425</v>
      </c>
      <c r="I33" s="76"/>
      <c r="J33" s="132"/>
      <c r="K33" s="74">
        <f t="shared" si="5"/>
        <v>25</v>
      </c>
      <c r="L33" s="136">
        <f t="shared" si="1"/>
        <v>0</v>
      </c>
      <c r="M33" s="76"/>
      <c r="N33" s="137">
        <f t="shared" si="2"/>
        <v>18.7425</v>
      </c>
      <c r="O33" s="79">
        <f t="shared" si="3"/>
        <v>-1</v>
      </c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</row>
    <row r="34" spans="1:63" x14ac:dyDescent="0.3">
      <c r="B34" s="12" t="str">
        <f>+Residential!$B$35</f>
        <v>Rate Rider for Disposition of Account 1576</v>
      </c>
      <c r="C34" s="73"/>
      <c r="D34" s="7" t="s">
        <v>67</v>
      </c>
      <c r="E34" s="73"/>
      <c r="F34" s="135"/>
      <c r="G34" s="74">
        <f t="shared" si="4"/>
        <v>25</v>
      </c>
      <c r="H34" s="136">
        <f t="shared" si="0"/>
        <v>0</v>
      </c>
      <c r="I34" s="76"/>
      <c r="J34" s="132">
        <v>-0.20549999999999999</v>
      </c>
      <c r="K34" s="74">
        <f t="shared" si="5"/>
        <v>25</v>
      </c>
      <c r="L34" s="136">
        <f t="shared" si="1"/>
        <v>-5.1374999999999993</v>
      </c>
      <c r="M34" s="76"/>
      <c r="N34" s="137">
        <f t="shared" si="2"/>
        <v>-5.1374999999999993</v>
      </c>
      <c r="O34" s="79" t="str">
        <f t="shared" si="3"/>
        <v/>
      </c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</row>
    <row r="35" spans="1:63" x14ac:dyDescent="0.3">
      <c r="B35" s="12" t="str">
        <f>+Residential!$B$36</f>
        <v xml:space="preserve">Rate Rider for Disposition of CGAAP CWIP differential </v>
      </c>
      <c r="C35" s="73"/>
      <c r="D35" s="7" t="s">
        <v>67</v>
      </c>
      <c r="E35" s="73"/>
      <c r="F35" s="134"/>
      <c r="G35" s="74">
        <f t="shared" si="4"/>
        <v>25</v>
      </c>
      <c r="H35" s="136">
        <f t="shared" si="0"/>
        <v>0</v>
      </c>
      <c r="I35" s="76"/>
      <c r="J35" s="132">
        <v>0.111</v>
      </c>
      <c r="K35" s="74">
        <f t="shared" si="5"/>
        <v>25</v>
      </c>
      <c r="L35" s="136">
        <f t="shared" si="1"/>
        <v>2.7749999999999999</v>
      </c>
      <c r="M35" s="76"/>
      <c r="N35" s="137">
        <f t="shared" si="2"/>
        <v>2.7749999999999999</v>
      </c>
      <c r="O35" s="79" t="str">
        <f t="shared" si="3"/>
        <v/>
      </c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</row>
    <row r="36" spans="1:63" x14ac:dyDescent="0.3">
      <c r="B36" s="12" t="str">
        <f>+Residential!$B$37</f>
        <v xml:space="preserve">Rate Rider for Disposition of Incremental Capital Expenditures </v>
      </c>
      <c r="C36" s="73"/>
      <c r="D36" s="7" t="s">
        <v>67</v>
      </c>
      <c r="E36" s="73"/>
      <c r="F36" s="134"/>
      <c r="G36" s="74">
        <f t="shared" si="4"/>
        <v>25</v>
      </c>
      <c r="H36" s="136">
        <f t="shared" si="0"/>
        <v>0</v>
      </c>
      <c r="I36" s="76"/>
      <c r="J36" s="132">
        <v>6.6600000000000006E-2</v>
      </c>
      <c r="K36" s="74">
        <f t="shared" si="5"/>
        <v>25</v>
      </c>
      <c r="L36" s="136">
        <f t="shared" si="1"/>
        <v>1.6650000000000003</v>
      </c>
      <c r="M36" s="76"/>
      <c r="N36" s="137">
        <f t="shared" si="2"/>
        <v>1.6650000000000003</v>
      </c>
      <c r="O36" s="79" t="str">
        <f t="shared" si="3"/>
        <v/>
      </c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</row>
    <row r="37" spans="1:63" x14ac:dyDescent="0.3">
      <c r="B37" s="12"/>
      <c r="C37" s="73"/>
      <c r="D37" s="7"/>
      <c r="E37" s="73"/>
      <c r="F37" s="131"/>
      <c r="G37" s="74">
        <f t="shared" si="4"/>
        <v>25</v>
      </c>
      <c r="H37" s="136">
        <f t="shared" si="0"/>
        <v>0</v>
      </c>
      <c r="I37" s="76"/>
      <c r="J37" s="132">
        <v>0</v>
      </c>
      <c r="K37" s="74">
        <f t="shared" si="5"/>
        <v>25</v>
      </c>
      <c r="L37" s="136">
        <f t="shared" si="1"/>
        <v>0</v>
      </c>
      <c r="M37" s="76"/>
      <c r="N37" s="137">
        <f t="shared" si="2"/>
        <v>0</v>
      </c>
      <c r="O37" s="79" t="str">
        <f t="shared" si="3"/>
        <v/>
      </c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</row>
    <row r="38" spans="1:63" x14ac:dyDescent="0.3">
      <c r="B38" s="12"/>
      <c r="C38" s="73"/>
      <c r="D38" s="7"/>
      <c r="E38" s="73"/>
      <c r="F38" s="131"/>
      <c r="G38" s="74">
        <f t="shared" si="4"/>
        <v>25</v>
      </c>
      <c r="H38" s="136">
        <f t="shared" si="0"/>
        <v>0</v>
      </c>
      <c r="I38" s="76"/>
      <c r="J38" s="131"/>
      <c r="K38" s="74">
        <f t="shared" si="5"/>
        <v>25</v>
      </c>
      <c r="L38" s="136">
        <f t="shared" si="1"/>
        <v>0</v>
      </c>
      <c r="M38" s="76"/>
      <c r="N38" s="137">
        <f t="shared" si="2"/>
        <v>0</v>
      </c>
      <c r="O38" s="79" t="str">
        <f t="shared" si="3"/>
        <v/>
      </c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</row>
    <row r="39" spans="1:63" s="4" customFormat="1" x14ac:dyDescent="0.3">
      <c r="A39" s="60"/>
      <c r="B39" s="19" t="s">
        <v>33</v>
      </c>
      <c r="C39" s="20"/>
      <c r="D39" s="20"/>
      <c r="E39" s="20"/>
      <c r="F39" s="21"/>
      <c r="G39" s="22"/>
      <c r="H39" s="23">
        <f>SUM(H23:H38)</f>
        <v>1756.1524999999999</v>
      </c>
      <c r="I39" s="13"/>
      <c r="J39" s="14"/>
      <c r="K39" s="24"/>
      <c r="L39" s="23">
        <f>SUM(L23:L38)</f>
        <v>1569.1074999999998</v>
      </c>
      <c r="M39" s="13"/>
      <c r="N39" s="15">
        <f t="shared" si="2"/>
        <v>-187.04500000000007</v>
      </c>
      <c r="O39" s="16">
        <f t="shared" si="3"/>
        <v>-0.10650840402527689</v>
      </c>
      <c r="P39" s="60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</row>
    <row r="40" spans="1:63" x14ac:dyDescent="0.3">
      <c r="B40" s="17" t="s">
        <v>34</v>
      </c>
      <c r="C40" s="73"/>
      <c r="D40" s="7" t="s">
        <v>67</v>
      </c>
      <c r="E40" s="73"/>
      <c r="F40" s="135">
        <v>9.3200000000000005E-2</v>
      </c>
      <c r="G40" s="74">
        <f>$F$18</f>
        <v>25</v>
      </c>
      <c r="H40" s="136">
        <f t="shared" ref="H40:H46" si="6">G40*F40</f>
        <v>2.33</v>
      </c>
      <c r="I40" s="76"/>
      <c r="J40" s="132">
        <v>-1.0448</v>
      </c>
      <c r="K40" s="74">
        <f>$F$18</f>
        <v>25</v>
      </c>
      <c r="L40" s="136">
        <f t="shared" ref="L40:L46" si="7">K40*J40</f>
        <v>-26.119999999999997</v>
      </c>
      <c r="M40" s="76"/>
      <c r="N40" s="137">
        <f t="shared" si="2"/>
        <v>-28.449999999999996</v>
      </c>
      <c r="O40" s="79">
        <f t="shared" si="3"/>
        <v>-12.210300429184548</v>
      </c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</row>
    <row r="41" spans="1:63" x14ac:dyDescent="0.3">
      <c r="B41" s="17"/>
      <c r="C41" s="73"/>
      <c r="D41" s="7"/>
      <c r="E41" s="73"/>
      <c r="F41" s="8"/>
      <c r="G41" s="74">
        <f>$F$18</f>
        <v>25</v>
      </c>
      <c r="H41" s="136">
        <f t="shared" si="6"/>
        <v>0</v>
      </c>
      <c r="I41" s="82"/>
      <c r="J41" s="8"/>
      <c r="K41" s="74">
        <f>$F$18</f>
        <v>25</v>
      </c>
      <c r="L41" s="136">
        <f t="shared" si="7"/>
        <v>0</v>
      </c>
      <c r="M41" s="83"/>
      <c r="N41" s="137">
        <f t="shared" si="2"/>
        <v>0</v>
      </c>
      <c r="O41" s="79" t="str">
        <f t="shared" si="3"/>
        <v/>
      </c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</row>
    <row r="42" spans="1:63" x14ac:dyDescent="0.3">
      <c r="B42" s="17"/>
      <c r="C42" s="73"/>
      <c r="D42" s="7"/>
      <c r="E42" s="73"/>
      <c r="F42" s="8"/>
      <c r="G42" s="74">
        <f>$F$18</f>
        <v>25</v>
      </c>
      <c r="H42" s="136">
        <f t="shared" si="6"/>
        <v>0</v>
      </c>
      <c r="I42" s="82"/>
      <c r="J42" s="8"/>
      <c r="K42" s="74">
        <f>$F$18</f>
        <v>25</v>
      </c>
      <c r="L42" s="136">
        <f t="shared" si="7"/>
        <v>0</v>
      </c>
      <c r="M42" s="83"/>
      <c r="N42" s="137">
        <f t="shared" si="2"/>
        <v>0</v>
      </c>
      <c r="O42" s="79" t="str">
        <f t="shared" si="3"/>
        <v/>
      </c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</row>
    <row r="43" spans="1:63" x14ac:dyDescent="0.3">
      <c r="B43" s="17"/>
      <c r="C43" s="73"/>
      <c r="D43" s="7"/>
      <c r="E43" s="73"/>
      <c r="F43" s="8"/>
      <c r="G43" s="74">
        <f>$F$18</f>
        <v>25</v>
      </c>
      <c r="H43" s="136">
        <f t="shared" si="6"/>
        <v>0</v>
      </c>
      <c r="I43" s="82"/>
      <c r="J43" s="8"/>
      <c r="K43" s="74">
        <f>$F$18</f>
        <v>25</v>
      </c>
      <c r="L43" s="136">
        <f t="shared" si="7"/>
        <v>0</v>
      </c>
      <c r="M43" s="83"/>
      <c r="N43" s="137">
        <f t="shared" si="2"/>
        <v>0</v>
      </c>
      <c r="O43" s="79" t="str">
        <f t="shared" si="3"/>
        <v/>
      </c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</row>
    <row r="44" spans="1:63" x14ac:dyDescent="0.3">
      <c r="B44" s="80" t="s">
        <v>35</v>
      </c>
      <c r="C44" s="73"/>
      <c r="D44" s="7" t="s">
        <v>67</v>
      </c>
      <c r="E44" s="73"/>
      <c r="F44" s="135">
        <v>1.24E-2</v>
      </c>
      <c r="G44" s="74">
        <f>$F$18</f>
        <v>25</v>
      </c>
      <c r="H44" s="136">
        <f t="shared" si="6"/>
        <v>0.31</v>
      </c>
      <c r="I44" s="76"/>
      <c r="J44" s="132">
        <v>2.5499999999999998E-2</v>
      </c>
      <c r="K44" s="74">
        <f>$F$18</f>
        <v>25</v>
      </c>
      <c r="L44" s="136">
        <f t="shared" si="7"/>
        <v>0.63749999999999996</v>
      </c>
      <c r="M44" s="76"/>
      <c r="N44" s="137">
        <f t="shared" si="2"/>
        <v>0.32749999999999996</v>
      </c>
      <c r="O44" s="79">
        <f t="shared" si="3"/>
        <v>1.0564516129032258</v>
      </c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</row>
    <row r="45" spans="1:63" x14ac:dyDescent="0.3">
      <c r="B45" s="80" t="s">
        <v>36</v>
      </c>
      <c r="C45" s="73"/>
      <c r="D45" s="7" t="s">
        <v>27</v>
      </c>
      <c r="E45" s="73"/>
      <c r="F45" s="138">
        <f>IF(ISBLANK(D16)=TRUE, 0, IF(D16="TOU", 0.64*$F55+0.18*$F56+0.18*$F57, IF(AND(D16="non-TOU", G59&gt;0), F59,F58)))</f>
        <v>8.7999999999999995E-2</v>
      </c>
      <c r="G45" s="18">
        <f>$F$19*(1+$F$74)-$F$19</f>
        <v>377</v>
      </c>
      <c r="H45" s="136">
        <f t="shared" si="6"/>
        <v>33.175999999999995</v>
      </c>
      <c r="I45" s="76"/>
      <c r="J45" s="138">
        <f>+F45</f>
        <v>8.7999999999999995E-2</v>
      </c>
      <c r="K45" s="18">
        <f>$F$19*(1+$J$74)-$F$19</f>
        <v>376</v>
      </c>
      <c r="L45" s="136">
        <f t="shared" si="7"/>
        <v>33.088000000000001</v>
      </c>
      <c r="M45" s="76"/>
      <c r="N45" s="137">
        <f t="shared" si="2"/>
        <v>-8.7999999999993861E-2</v>
      </c>
      <c r="O45" s="79">
        <f t="shared" si="3"/>
        <v>-2.6525198938990198E-3</v>
      </c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</row>
    <row r="46" spans="1:63" x14ac:dyDescent="0.3">
      <c r="B46" s="80" t="s">
        <v>37</v>
      </c>
      <c r="C46" s="73"/>
      <c r="D46" s="7" t="s">
        <v>24</v>
      </c>
      <c r="E46" s="73"/>
      <c r="F46" s="138">
        <v>0</v>
      </c>
      <c r="G46" s="74">
        <v>1</v>
      </c>
      <c r="H46" s="136">
        <f t="shared" si="6"/>
        <v>0</v>
      </c>
      <c r="I46" s="76"/>
      <c r="J46" s="138"/>
      <c r="K46" s="81">
        <v>1</v>
      </c>
      <c r="L46" s="136">
        <f t="shared" si="7"/>
        <v>0</v>
      </c>
      <c r="M46" s="76"/>
      <c r="N46" s="137">
        <f t="shared" si="2"/>
        <v>0</v>
      </c>
      <c r="O46" s="79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</row>
    <row r="47" spans="1:63" s="4" customFormat="1" x14ac:dyDescent="0.3">
      <c r="A47" s="60"/>
      <c r="B47" s="19" t="s">
        <v>38</v>
      </c>
      <c r="C47" s="20"/>
      <c r="D47" s="20"/>
      <c r="E47" s="20"/>
      <c r="F47" s="21"/>
      <c r="G47" s="22"/>
      <c r="H47" s="23">
        <f>SUM(H40:H46)+H39</f>
        <v>1791.9684999999999</v>
      </c>
      <c r="I47" s="13"/>
      <c r="J47" s="22"/>
      <c r="K47" s="24"/>
      <c r="L47" s="23">
        <f>SUM(L40:L46)+L39</f>
        <v>1576.7129999999997</v>
      </c>
      <c r="M47" s="13"/>
      <c r="N47" s="15">
        <f t="shared" si="2"/>
        <v>-215.25550000000021</v>
      </c>
      <c r="O47" s="16">
        <f t="shared" ref="O47:O59" si="8">IF((H47)=0,"",(N47/H47))</f>
        <v>-0.12012236822243261</v>
      </c>
      <c r="P47" s="60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</row>
    <row r="48" spans="1:63" x14ac:dyDescent="0.3">
      <c r="B48" s="76" t="s">
        <v>39</v>
      </c>
      <c r="C48" s="76"/>
      <c r="D48" s="25" t="s">
        <v>67</v>
      </c>
      <c r="E48" s="76"/>
      <c r="F48" s="135">
        <v>0.55459999999999998</v>
      </c>
      <c r="G48" s="18">
        <f>F18*(1+F74)</f>
        <v>25.942500000000003</v>
      </c>
      <c r="H48" s="136">
        <f>G48*F48</f>
        <v>14.387710500000001</v>
      </c>
      <c r="I48" s="76"/>
      <c r="J48" s="135">
        <v>0.55010000000000003</v>
      </c>
      <c r="K48" s="18">
        <f>F18*(1+J74)</f>
        <v>25.94</v>
      </c>
      <c r="L48" s="136">
        <f>K48*J48</f>
        <v>14.269594000000001</v>
      </c>
      <c r="M48" s="76"/>
      <c r="N48" s="136">
        <f t="shared" si="2"/>
        <v>-0.11811649999999929</v>
      </c>
      <c r="O48" s="79">
        <f t="shared" si="8"/>
        <v>-8.2095410524140929E-3</v>
      </c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</row>
    <row r="49" spans="1:63" x14ac:dyDescent="0.3">
      <c r="B49" s="85" t="s">
        <v>40</v>
      </c>
      <c r="C49" s="76"/>
      <c r="D49" s="25" t="s">
        <v>67</v>
      </c>
      <c r="E49" s="76"/>
      <c r="F49" s="135">
        <v>0.37609999999999999</v>
      </c>
      <c r="G49" s="18">
        <f>G48</f>
        <v>25.942500000000003</v>
      </c>
      <c r="H49" s="136">
        <f>G49*F49</f>
        <v>9.7569742500000007</v>
      </c>
      <c r="I49" s="76"/>
      <c r="J49" s="135">
        <v>0.3644</v>
      </c>
      <c r="K49" s="18">
        <f>K48</f>
        <v>25.94</v>
      </c>
      <c r="L49" s="136">
        <f>K49*J49</f>
        <v>9.4525360000000003</v>
      </c>
      <c r="M49" s="76"/>
      <c r="N49" s="136">
        <f t="shared" si="2"/>
        <v>-0.30443825000000047</v>
      </c>
      <c r="O49" s="79">
        <f t="shared" si="8"/>
        <v>-3.1202116783284578E-2</v>
      </c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</row>
    <row r="50" spans="1:63" s="4" customFormat="1" x14ac:dyDescent="0.3">
      <c r="A50" s="60"/>
      <c r="B50" s="19" t="s">
        <v>41</v>
      </c>
      <c r="C50" s="20"/>
      <c r="D50" s="20"/>
      <c r="E50" s="20"/>
      <c r="F50" s="21"/>
      <c r="G50" s="22"/>
      <c r="H50" s="23">
        <f>SUM(H47:H49)</f>
        <v>1816.1131847499998</v>
      </c>
      <c r="I50" s="13"/>
      <c r="J50" s="26"/>
      <c r="K50" s="22"/>
      <c r="L50" s="23">
        <f>SUM(L47:L49)</f>
        <v>1600.4351299999998</v>
      </c>
      <c r="M50" s="13"/>
      <c r="N50" s="15">
        <f t="shared" si="2"/>
        <v>-215.67805475</v>
      </c>
      <c r="O50" s="16">
        <f t="shared" si="8"/>
        <v>-0.11875804688885044</v>
      </c>
      <c r="P50" s="60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</row>
    <row r="51" spans="1:63" x14ac:dyDescent="0.3">
      <c r="B51" s="86" t="s">
        <v>42</v>
      </c>
      <c r="C51" s="73"/>
      <c r="D51" s="7" t="s">
        <v>27</v>
      </c>
      <c r="E51" s="73"/>
      <c r="F51" s="135">
        <v>4.4000000000000003E-3</v>
      </c>
      <c r="G51" s="18">
        <f>F19*(1+F74)</f>
        <v>10377</v>
      </c>
      <c r="H51" s="139">
        <f t="shared" ref="H51:H59" si="9">G51*F51</f>
        <v>45.658799999999999</v>
      </c>
      <c r="I51" s="76"/>
      <c r="J51" s="135">
        <f>+F51</f>
        <v>4.4000000000000003E-3</v>
      </c>
      <c r="K51" s="18">
        <f>F19*(1+J74)</f>
        <v>10376</v>
      </c>
      <c r="L51" s="139">
        <f t="shared" ref="L51:L59" si="10">K51*J51</f>
        <v>45.654400000000003</v>
      </c>
      <c r="M51" s="76"/>
      <c r="N51" s="137">
        <f t="shared" si="2"/>
        <v>-4.3999999999968509E-3</v>
      </c>
      <c r="O51" s="87">
        <f t="shared" si="8"/>
        <v>-9.6366965404190446E-5</v>
      </c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</row>
    <row r="52" spans="1:63" x14ac:dyDescent="0.3">
      <c r="B52" s="86" t="s">
        <v>43</v>
      </c>
      <c r="C52" s="73"/>
      <c r="D52" s="7" t="s">
        <v>27</v>
      </c>
      <c r="E52" s="73"/>
      <c r="F52" s="135">
        <v>1.1999999999999999E-3</v>
      </c>
      <c r="G52" s="18">
        <f>+G51</f>
        <v>10377</v>
      </c>
      <c r="H52" s="139">
        <f t="shared" si="9"/>
        <v>12.452399999999999</v>
      </c>
      <c r="I52" s="76"/>
      <c r="J52" s="135">
        <v>1.2999999999999999E-3</v>
      </c>
      <c r="K52" s="18">
        <f>+K51</f>
        <v>10376</v>
      </c>
      <c r="L52" s="139">
        <f t="shared" si="10"/>
        <v>13.488799999999999</v>
      </c>
      <c r="M52" s="76"/>
      <c r="N52" s="137">
        <f t="shared" si="2"/>
        <v>1.0364000000000004</v>
      </c>
      <c r="O52" s="87">
        <f t="shared" si="8"/>
        <v>8.3228935787478767E-2</v>
      </c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</row>
    <row r="53" spans="1:63" x14ac:dyDescent="0.3">
      <c r="B53" s="73" t="s">
        <v>44</v>
      </c>
      <c r="C53" s="73"/>
      <c r="D53" s="7" t="s">
        <v>24</v>
      </c>
      <c r="E53" s="73"/>
      <c r="F53" s="135">
        <v>0.25</v>
      </c>
      <c r="G53" s="81">
        <v>1</v>
      </c>
      <c r="H53" s="139">
        <f t="shared" si="9"/>
        <v>0.25</v>
      </c>
      <c r="I53" s="76"/>
      <c r="J53" s="135">
        <f>+F53</f>
        <v>0.25</v>
      </c>
      <c r="K53" s="77">
        <v>1</v>
      </c>
      <c r="L53" s="139">
        <f t="shared" si="10"/>
        <v>0.25</v>
      </c>
      <c r="M53" s="76"/>
      <c r="N53" s="137">
        <f t="shared" si="2"/>
        <v>0</v>
      </c>
      <c r="O53" s="87">
        <f t="shared" si="8"/>
        <v>0</v>
      </c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</row>
    <row r="54" spans="1:63" x14ac:dyDescent="0.3">
      <c r="B54" s="73" t="s">
        <v>45</v>
      </c>
      <c r="C54" s="73"/>
      <c r="D54" s="7" t="s">
        <v>27</v>
      </c>
      <c r="E54" s="73"/>
      <c r="F54" s="135">
        <v>7.0000000000000001E-3</v>
      </c>
      <c r="G54" s="84">
        <f>F19</f>
        <v>10000</v>
      </c>
      <c r="H54" s="139">
        <f t="shared" si="9"/>
        <v>70</v>
      </c>
      <c r="I54" s="76"/>
      <c r="J54" s="135">
        <f>+F54</f>
        <v>7.0000000000000001E-3</v>
      </c>
      <c r="K54" s="77">
        <f>F19</f>
        <v>10000</v>
      </c>
      <c r="L54" s="139">
        <f t="shared" si="10"/>
        <v>70</v>
      </c>
      <c r="M54" s="76"/>
      <c r="N54" s="137">
        <f t="shared" si="2"/>
        <v>0</v>
      </c>
      <c r="O54" s="87">
        <f t="shared" si="8"/>
        <v>0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</row>
    <row r="55" spans="1:63" x14ac:dyDescent="0.3">
      <c r="B55" s="80" t="s">
        <v>46</v>
      </c>
      <c r="C55" s="73"/>
      <c r="D55" s="7" t="s">
        <v>27</v>
      </c>
      <c r="E55" s="73"/>
      <c r="F55" s="138">
        <v>6.7000000000000004E-2</v>
      </c>
      <c r="G55" s="27">
        <f>0.64*$F$19</f>
        <v>6400</v>
      </c>
      <c r="H55" s="139">
        <f t="shared" si="9"/>
        <v>428.8</v>
      </c>
      <c r="I55" s="76"/>
      <c r="J55" s="138">
        <v>6.7000000000000004E-2</v>
      </c>
      <c r="K55" s="28">
        <f>G55</f>
        <v>6400</v>
      </c>
      <c r="L55" s="139">
        <f t="shared" si="10"/>
        <v>428.8</v>
      </c>
      <c r="M55" s="76"/>
      <c r="N55" s="137">
        <f t="shared" si="2"/>
        <v>0</v>
      </c>
      <c r="O55" s="87">
        <f t="shared" si="8"/>
        <v>0</v>
      </c>
      <c r="Q55" s="126"/>
      <c r="R55" s="126"/>
      <c r="S55" s="127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</row>
    <row r="56" spans="1:63" x14ac:dyDescent="0.3">
      <c r="B56" s="80" t="s">
        <v>47</v>
      </c>
      <c r="C56" s="73"/>
      <c r="D56" s="7" t="s">
        <v>27</v>
      </c>
      <c r="E56" s="73"/>
      <c r="F56" s="138">
        <v>0.104</v>
      </c>
      <c r="G56" s="27">
        <f>0.18*$F$19</f>
        <v>1800</v>
      </c>
      <c r="H56" s="139">
        <f t="shared" si="9"/>
        <v>187.2</v>
      </c>
      <c r="I56" s="76"/>
      <c r="J56" s="138">
        <v>0.104</v>
      </c>
      <c r="K56" s="28">
        <f>G56</f>
        <v>1800</v>
      </c>
      <c r="L56" s="139">
        <f t="shared" si="10"/>
        <v>187.2</v>
      </c>
      <c r="M56" s="76"/>
      <c r="N56" s="137">
        <f t="shared" si="2"/>
        <v>0</v>
      </c>
      <c r="O56" s="87">
        <f t="shared" si="8"/>
        <v>0</v>
      </c>
      <c r="Q56" s="126"/>
      <c r="R56" s="126"/>
      <c r="S56" s="127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</row>
    <row r="57" spans="1:63" x14ac:dyDescent="0.3">
      <c r="B57" s="64" t="s">
        <v>48</v>
      </c>
      <c r="C57" s="73"/>
      <c r="D57" s="7" t="s">
        <v>27</v>
      </c>
      <c r="E57" s="73"/>
      <c r="F57" s="138">
        <v>0.124</v>
      </c>
      <c r="G57" s="27">
        <f>0.18*$F$19</f>
        <v>1800</v>
      </c>
      <c r="H57" s="139">
        <f t="shared" si="9"/>
        <v>223.2</v>
      </c>
      <c r="I57" s="76"/>
      <c r="J57" s="138">
        <v>0.124</v>
      </c>
      <c r="K57" s="28">
        <f>G57</f>
        <v>1800</v>
      </c>
      <c r="L57" s="139">
        <f t="shared" si="10"/>
        <v>223.2</v>
      </c>
      <c r="M57" s="76"/>
      <c r="N57" s="137">
        <f t="shared" si="2"/>
        <v>0</v>
      </c>
      <c r="O57" s="87">
        <f t="shared" si="8"/>
        <v>0</v>
      </c>
      <c r="Q57" s="126"/>
      <c r="R57" s="126"/>
      <c r="S57" s="127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</row>
    <row r="58" spans="1:63" s="92" customFormat="1" x14ac:dyDescent="0.25">
      <c r="B58" s="89" t="s">
        <v>49</v>
      </c>
      <c r="C58" s="90"/>
      <c r="D58" s="29" t="s">
        <v>27</v>
      </c>
      <c r="E58" s="90"/>
      <c r="F58" s="138">
        <v>7.4999999999999997E-2</v>
      </c>
      <c r="G58" s="30">
        <f>IF(AND($T$1=1, F19&gt;=750), 750, IF(AND($T$1=1, AND(F19&lt;750, F19&gt;=0)), F19, IF(AND($T$1=2, F19&gt;=750), 750, IF(AND($T$1=2, AND(F19&lt;750, F19&gt;=0)), F19))))</f>
        <v>750</v>
      </c>
      <c r="H58" s="139">
        <f t="shared" si="9"/>
        <v>56.25</v>
      </c>
      <c r="I58" s="91"/>
      <c r="J58" s="138">
        <v>7.4999999999999997E-2</v>
      </c>
      <c r="K58" s="31">
        <f>G58</f>
        <v>750</v>
      </c>
      <c r="L58" s="139">
        <f t="shared" si="10"/>
        <v>56.25</v>
      </c>
      <c r="M58" s="91"/>
      <c r="N58" s="140">
        <f t="shared" si="2"/>
        <v>0</v>
      </c>
      <c r="O58" s="87">
        <f t="shared" si="8"/>
        <v>0</v>
      </c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</row>
    <row r="59" spans="1:63" s="92" customFormat="1" ht="15" thickBot="1" x14ac:dyDescent="0.3">
      <c r="B59" s="89" t="s">
        <v>50</v>
      </c>
      <c r="C59" s="90"/>
      <c r="D59" s="29" t="s">
        <v>27</v>
      </c>
      <c r="E59" s="90"/>
      <c r="F59" s="138">
        <v>8.7999999999999995E-2</v>
      </c>
      <c r="G59" s="30">
        <f>IF(AND($T$1=1, F19&gt;=750), F19-750, IF(AND($T$1=1, AND(F19&lt;750, F19&gt;=0)), 0, IF(AND($T$1=2, F19&gt;=750), F19-750, IF(AND($T$1=2, AND(F19&lt;750, F19&gt;=0)), 0))))</f>
        <v>9250</v>
      </c>
      <c r="H59" s="139">
        <f t="shared" si="9"/>
        <v>814</v>
      </c>
      <c r="I59" s="91"/>
      <c r="J59" s="138">
        <v>8.7999999999999995E-2</v>
      </c>
      <c r="K59" s="31">
        <f>G59</f>
        <v>9250</v>
      </c>
      <c r="L59" s="139">
        <f t="shared" si="10"/>
        <v>814</v>
      </c>
      <c r="M59" s="91"/>
      <c r="N59" s="140">
        <f t="shared" si="2"/>
        <v>0</v>
      </c>
      <c r="O59" s="87">
        <f t="shared" si="8"/>
        <v>0</v>
      </c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</row>
    <row r="60" spans="1:63" s="4" customFormat="1" ht="15" thickBot="1" x14ac:dyDescent="0.35">
      <c r="A60" s="60"/>
      <c r="B60" s="32"/>
      <c r="C60" s="33"/>
      <c r="D60" s="124"/>
      <c r="E60" s="33"/>
      <c r="F60" s="35"/>
      <c r="G60" s="36"/>
      <c r="H60" s="122"/>
      <c r="I60" s="123"/>
      <c r="J60" s="35"/>
      <c r="K60" s="39"/>
      <c r="L60" s="122"/>
      <c r="M60" s="123"/>
      <c r="N60" s="40"/>
      <c r="O60" s="41"/>
      <c r="P60" s="60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</row>
    <row r="61" spans="1:63" x14ac:dyDescent="0.3">
      <c r="B61" s="93" t="s">
        <v>51</v>
      </c>
      <c r="C61" s="73"/>
      <c r="D61" s="73"/>
      <c r="E61" s="73"/>
      <c r="F61" s="94"/>
      <c r="G61" s="95"/>
      <c r="H61" s="141">
        <f>SUM(H51:H57,H50)</f>
        <v>2783.6743847500002</v>
      </c>
      <c r="I61" s="96"/>
      <c r="J61" s="97"/>
      <c r="K61" s="97"/>
      <c r="L61" s="144">
        <f>SUM(L51:L57,L50)</f>
        <v>2569.0283300000001</v>
      </c>
      <c r="M61" s="145"/>
      <c r="N61" s="146">
        <f>L61-H61</f>
        <v>-214.64605475000008</v>
      </c>
      <c r="O61" s="98">
        <f>IF((H61)=0,"",(N61/H61))</f>
        <v>-7.71088946056014E-2</v>
      </c>
      <c r="Q61" s="126"/>
      <c r="R61" s="126"/>
      <c r="S61" s="127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</row>
    <row r="62" spans="1:63" x14ac:dyDescent="0.3">
      <c r="B62" s="99" t="s">
        <v>52</v>
      </c>
      <c r="C62" s="73"/>
      <c r="D62" s="73"/>
      <c r="E62" s="73"/>
      <c r="F62" s="100">
        <v>0.13</v>
      </c>
      <c r="G62" s="101"/>
      <c r="H62" s="142">
        <f>H61*F62</f>
        <v>361.87767001750001</v>
      </c>
      <c r="I62" s="102"/>
      <c r="J62" s="103">
        <v>0.13</v>
      </c>
      <c r="K62" s="102"/>
      <c r="L62" s="147">
        <f>L61*J62</f>
        <v>333.97368290000003</v>
      </c>
      <c r="M62" s="148"/>
      <c r="N62" s="149">
        <f>L62-H62</f>
        <v>-27.90398711749998</v>
      </c>
      <c r="O62" s="104">
        <f>IF((H62)=0,"",(N62/H62))</f>
        <v>-7.7108894605601316E-2</v>
      </c>
      <c r="Q62" s="126"/>
      <c r="R62" s="126"/>
      <c r="S62" s="127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</row>
    <row r="63" spans="1:63" x14ac:dyDescent="0.3">
      <c r="B63" s="105" t="s">
        <v>53</v>
      </c>
      <c r="C63" s="73"/>
      <c r="D63" s="73"/>
      <c r="E63" s="73"/>
      <c r="F63" s="106"/>
      <c r="G63" s="101"/>
      <c r="H63" s="142">
        <f>H61+H62</f>
        <v>3145.5520547675001</v>
      </c>
      <c r="I63" s="102"/>
      <c r="J63" s="102"/>
      <c r="K63" s="102"/>
      <c r="L63" s="147">
        <f>L61+L62</f>
        <v>2903.0020129</v>
      </c>
      <c r="M63" s="148"/>
      <c r="N63" s="149">
        <f>L63-H63</f>
        <v>-242.55004186750011</v>
      </c>
      <c r="O63" s="104">
        <f>IF((H63)=0,"",(N63/H63))</f>
        <v>-7.7108894605601414E-2</v>
      </c>
      <c r="Q63" s="126"/>
      <c r="R63" s="126"/>
      <c r="S63" s="127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</row>
    <row r="64" spans="1:63" ht="14.4" customHeight="1" x14ac:dyDescent="0.3">
      <c r="B64" s="172" t="s">
        <v>54</v>
      </c>
      <c r="C64" s="172"/>
      <c r="D64" s="172"/>
      <c r="E64" s="73"/>
      <c r="F64" s="106"/>
      <c r="G64" s="101"/>
      <c r="H64" s="143">
        <v>0</v>
      </c>
      <c r="I64" s="102"/>
      <c r="J64" s="102"/>
      <c r="K64" s="102"/>
      <c r="L64" s="150">
        <v>0</v>
      </c>
      <c r="M64" s="148"/>
      <c r="N64" s="151">
        <f>L64-H64</f>
        <v>0</v>
      </c>
      <c r="O64" s="107" t="str">
        <f>IF((H64)=0,"",(N64/H64))</f>
        <v/>
      </c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</row>
    <row r="65" spans="1:63" s="4" customFormat="1" ht="15" thickBot="1" x14ac:dyDescent="0.35">
      <c r="A65" s="60"/>
      <c r="B65" s="173" t="s">
        <v>55</v>
      </c>
      <c r="C65" s="173"/>
      <c r="D65" s="173"/>
      <c r="E65" s="42"/>
      <c r="F65" s="43"/>
      <c r="G65" s="44"/>
      <c r="H65" s="45">
        <f>H63+H64</f>
        <v>3145.5520547675001</v>
      </c>
      <c r="I65" s="46"/>
      <c r="J65" s="46"/>
      <c r="K65" s="46"/>
      <c r="L65" s="47">
        <f>L63+L64</f>
        <v>2903.0020129</v>
      </c>
      <c r="M65" s="48"/>
      <c r="N65" s="49">
        <f>L65-H65</f>
        <v>-242.55004186750011</v>
      </c>
      <c r="O65" s="50">
        <f>IF((H65)=0,"",(N65/H65))</f>
        <v>-7.7108894605601414E-2</v>
      </c>
      <c r="P65" s="60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</row>
    <row r="66" spans="1:63" s="4" customFormat="1" ht="15" thickBot="1" x14ac:dyDescent="0.35">
      <c r="A66" s="60"/>
      <c r="B66" s="32"/>
      <c r="C66" s="33"/>
      <c r="D66" s="34"/>
      <c r="E66" s="33"/>
      <c r="F66" s="35"/>
      <c r="G66" s="36"/>
      <c r="H66" s="37"/>
      <c r="I66" s="38"/>
      <c r="J66" s="35"/>
      <c r="K66" s="39"/>
      <c r="L66" s="37"/>
      <c r="M66" s="123"/>
      <c r="N66" s="40"/>
      <c r="O66" s="41"/>
      <c r="P66" s="60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</row>
    <row r="67" spans="1:63" s="92" customFormat="1" ht="13.2" x14ac:dyDescent="0.25">
      <c r="B67" s="108" t="s">
        <v>56</v>
      </c>
      <c r="C67" s="90"/>
      <c r="D67" s="90"/>
      <c r="E67" s="90"/>
      <c r="F67" s="109"/>
      <c r="G67" s="110"/>
      <c r="H67" s="152">
        <f>SUM(H58:H59,H50,H51:H54)</f>
        <v>2814.7243847500004</v>
      </c>
      <c r="I67" s="111"/>
      <c r="J67" s="112"/>
      <c r="K67" s="112"/>
      <c r="L67" s="155">
        <f>SUM(L58:L59,L50,L51:L54)</f>
        <v>2600.0783299999998</v>
      </c>
      <c r="M67" s="156"/>
      <c r="N67" s="157">
        <f>L67-H67</f>
        <v>-214.64605475000053</v>
      </c>
      <c r="O67" s="98">
        <f>IF((H67)=0,"",(N67/H67))</f>
        <v>-7.6258285149671978E-2</v>
      </c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63" s="92" customFormat="1" ht="13.2" x14ac:dyDescent="0.25">
      <c r="B68" s="113" t="s">
        <v>52</v>
      </c>
      <c r="C68" s="90"/>
      <c r="D68" s="90"/>
      <c r="E68" s="90"/>
      <c r="F68" s="114">
        <v>0.13</v>
      </c>
      <c r="G68" s="110"/>
      <c r="H68" s="153">
        <f>H67*F68</f>
        <v>365.91417001750006</v>
      </c>
      <c r="I68" s="115"/>
      <c r="J68" s="116">
        <v>0.13</v>
      </c>
      <c r="K68" s="117"/>
      <c r="L68" s="158">
        <f>L67*J68</f>
        <v>338.01018289999996</v>
      </c>
      <c r="M68" s="159"/>
      <c r="N68" s="160">
        <f>L68-H68</f>
        <v>-27.903987117500094</v>
      </c>
      <c r="O68" s="104">
        <f>IF((H68)=0,"",(N68/H68))</f>
        <v>-7.6258285149672034E-2</v>
      </c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63" s="92" customFormat="1" ht="13.2" x14ac:dyDescent="0.25">
      <c r="B69" s="118" t="s">
        <v>53</v>
      </c>
      <c r="C69" s="90"/>
      <c r="D69" s="90"/>
      <c r="E69" s="90"/>
      <c r="F69" s="119"/>
      <c r="G69" s="120"/>
      <c r="H69" s="153">
        <f>H67+H68</f>
        <v>3180.6385547675004</v>
      </c>
      <c r="I69" s="115"/>
      <c r="J69" s="115"/>
      <c r="K69" s="115"/>
      <c r="L69" s="158">
        <f>L67+L68</f>
        <v>2938.0885128999998</v>
      </c>
      <c r="M69" s="159"/>
      <c r="N69" s="160">
        <f>L69-H69</f>
        <v>-242.55004186750057</v>
      </c>
      <c r="O69" s="104">
        <f>IF((H69)=0,"",(N69/H69))</f>
        <v>-7.6258285149671964E-2</v>
      </c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63" s="92" customFormat="1" ht="13.2" customHeight="1" x14ac:dyDescent="0.25">
      <c r="B70" s="174" t="s">
        <v>54</v>
      </c>
      <c r="C70" s="174"/>
      <c r="D70" s="174"/>
      <c r="E70" s="90"/>
      <c r="F70" s="119"/>
      <c r="G70" s="120"/>
      <c r="H70" s="154">
        <v>0</v>
      </c>
      <c r="I70" s="115"/>
      <c r="J70" s="115"/>
      <c r="K70" s="115"/>
      <c r="L70" s="161">
        <v>0</v>
      </c>
      <c r="M70" s="159"/>
      <c r="N70" s="162">
        <f>L70-H70</f>
        <v>0</v>
      </c>
      <c r="O70" s="107" t="str">
        <f>IF((H70)=0,"",(N70/H70))</f>
        <v/>
      </c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63" s="4" customFormat="1" ht="15" thickBot="1" x14ac:dyDescent="0.35">
      <c r="A71" s="60"/>
      <c r="B71" s="173" t="s">
        <v>57</v>
      </c>
      <c r="C71" s="173"/>
      <c r="D71" s="173"/>
      <c r="E71" s="42"/>
      <c r="F71" s="43"/>
      <c r="G71" s="44"/>
      <c r="H71" s="45">
        <f>SUM(H69:H70)</f>
        <v>3180.6385547675004</v>
      </c>
      <c r="I71" s="46"/>
      <c r="J71" s="46"/>
      <c r="K71" s="46"/>
      <c r="L71" s="47">
        <f>SUM(L69:L70)</f>
        <v>2938.0885128999998</v>
      </c>
      <c r="M71" s="48"/>
      <c r="N71" s="49">
        <f>L71-H71</f>
        <v>-242.55004186750057</v>
      </c>
      <c r="O71" s="50">
        <f>IF((H71)=0,"",(N71/H71))</f>
        <v>-7.6258285149671964E-2</v>
      </c>
      <c r="P71" s="60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</row>
    <row r="72" spans="1:63" s="4" customFormat="1" ht="15" thickBot="1" x14ac:dyDescent="0.35">
      <c r="A72" s="60"/>
      <c r="B72" s="32"/>
      <c r="C72" s="33"/>
      <c r="D72" s="34"/>
      <c r="E72" s="33"/>
      <c r="F72" s="35"/>
      <c r="G72" s="36"/>
      <c r="H72" s="122"/>
      <c r="I72" s="123"/>
      <c r="J72" s="35"/>
      <c r="K72" s="39"/>
      <c r="L72" s="37"/>
      <c r="M72" s="123"/>
      <c r="N72" s="40"/>
      <c r="O72" s="41"/>
      <c r="P72" s="60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</row>
    <row r="73" spans="1:63" x14ac:dyDescent="0.3">
      <c r="L73" s="88"/>
    </row>
    <row r="74" spans="1:63" x14ac:dyDescent="0.3">
      <c r="B74" s="65" t="s">
        <v>58</v>
      </c>
      <c r="F74" s="51">
        <v>3.7699999999999997E-2</v>
      </c>
      <c r="J74" s="51">
        <f>+Residential!$J$74</f>
        <v>3.7600000000000001E-2</v>
      </c>
    </row>
    <row r="76" spans="1:63" x14ac:dyDescent="0.3">
      <c r="L76" s="56"/>
      <c r="M76" s="56"/>
      <c r="N76" s="56"/>
      <c r="O76" s="56"/>
      <c r="P76" s="56"/>
    </row>
    <row r="77" spans="1:63" ht="16.2" x14ac:dyDescent="0.3">
      <c r="A77" s="121" t="s">
        <v>59</v>
      </c>
    </row>
    <row r="79" spans="1:63" x14ac:dyDescent="0.3">
      <c r="A79" s="60" t="s">
        <v>60</v>
      </c>
    </row>
    <row r="80" spans="1:63" x14ac:dyDescent="0.3">
      <c r="A80" s="60" t="s">
        <v>61</v>
      </c>
    </row>
    <row r="82" spans="2:2" x14ac:dyDescent="0.3">
      <c r="B82" s="60" t="s">
        <v>62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4">
    <dataValidation type="list" allowBlank="1" showInputMessage="1" showErrorMessage="1" sqref="E48:E49 E40:E46 E23:E38 E51:E57 E60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sqref="D16">
      <formula1>"TOU, non-TOU"</formula1>
    </dataValidation>
  </dataValidations>
  <pageMargins left="0.7" right="0.7" top="0.75" bottom="0.75" header="0.3" footer="0.3"/>
  <pageSetup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90" r:id="rId4" name="Option Button 26">
              <controlPr defaultSize="0" autoFill="0" autoLine="0" autoPict="0">
                <anchor moveWithCells="1">
                  <from>
                    <xdr:col>7</xdr:col>
                    <xdr:colOff>327660</xdr:colOff>
                    <xdr:row>15</xdr:row>
                    <xdr:rowOff>144780</xdr:rowOff>
                  </from>
                  <to>
                    <xdr:col>9</xdr:col>
                    <xdr:colOff>609600</xdr:colOff>
                    <xdr:row>16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5" name="Option Button 27">
              <controlPr defaultSize="0" autoFill="0" autoLine="0" autoPict="0">
                <anchor moveWithCells="1">
                  <from>
                    <xdr:col>9</xdr:col>
                    <xdr:colOff>426720</xdr:colOff>
                    <xdr:row>15</xdr:row>
                    <xdr:rowOff>137160</xdr:rowOff>
                  </from>
                  <to>
                    <xdr:col>14</xdr:col>
                    <xdr:colOff>678180</xdr:colOff>
                    <xdr:row>16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K157"/>
  <sheetViews>
    <sheetView view="pageBreakPreview" topLeftCell="A156" zoomScale="90" zoomScaleNormal="80" zoomScaleSheetLayoutView="90" workbookViewId="0">
      <selection activeCell="D112" sqref="D112"/>
    </sheetView>
  </sheetViews>
  <sheetFormatPr defaultColWidth="9.109375" defaultRowHeight="14.4" x14ac:dyDescent="0.3"/>
  <cols>
    <col min="1" max="1" width="4.44140625" style="60" customWidth="1"/>
    <col min="2" max="2" width="54.21875" style="60" customWidth="1"/>
    <col min="3" max="3" width="1.33203125" style="60" customWidth="1"/>
    <col min="4" max="4" width="11.33203125" style="60" customWidth="1"/>
    <col min="5" max="5" width="1.33203125" style="60" customWidth="1"/>
    <col min="6" max="6" width="12.33203125" style="60" customWidth="1"/>
    <col min="7" max="7" width="14.44140625" style="60" bestFit="1" customWidth="1"/>
    <col min="8" max="8" width="13.33203125" style="60" customWidth="1"/>
    <col min="9" max="9" width="2.88671875" style="60" customWidth="1"/>
    <col min="10" max="10" width="12.109375" style="60" customWidth="1"/>
    <col min="11" max="11" width="12" style="60" customWidth="1"/>
    <col min="12" max="12" width="12.44140625" style="60" customWidth="1"/>
    <col min="13" max="13" width="2.88671875" style="60" customWidth="1"/>
    <col min="14" max="14" width="12.6640625" style="60" bestFit="1" customWidth="1"/>
    <col min="15" max="15" width="13.6640625" style="60" customWidth="1"/>
    <col min="16" max="16" width="3.88671875" style="60" customWidth="1"/>
    <col min="17" max="19" width="9.109375" style="60"/>
    <col min="20" max="20" width="9.109375" style="60" customWidth="1"/>
    <col min="21" max="16384" width="9.109375" style="60"/>
  </cols>
  <sheetData>
    <row r="1" spans="1:20" s="53" customFormat="1" ht="9.6" hidden="1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N1" s="54" t="s">
        <v>0</v>
      </c>
      <c r="O1" s="55" t="s">
        <v>76</v>
      </c>
      <c r="P1" s="56"/>
      <c r="T1" s="53">
        <v>3</v>
      </c>
    </row>
    <row r="2" spans="1:20" s="53" customFormat="1" ht="9.6" hidden="1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N2" s="54" t="s">
        <v>1</v>
      </c>
      <c r="O2" s="2"/>
      <c r="P2" s="56"/>
    </row>
    <row r="3" spans="1:20" s="53" customFormat="1" ht="9.6" hidden="1" customHeigh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N3" s="54" t="s">
        <v>2</v>
      </c>
      <c r="O3" s="2"/>
      <c r="P3" s="56"/>
    </row>
    <row r="4" spans="1:20" s="53" customFormat="1" ht="9.6" hidden="1" customHeight="1" x14ac:dyDescent="0.3">
      <c r="A4" s="57"/>
      <c r="B4" s="57"/>
      <c r="C4" s="57"/>
      <c r="D4" s="57"/>
      <c r="E4" s="57"/>
      <c r="F4" s="57"/>
      <c r="G4" s="57"/>
      <c r="H4" s="57"/>
      <c r="I4" s="58"/>
      <c r="J4" s="58"/>
      <c r="K4" s="58"/>
      <c r="N4" s="54" t="s">
        <v>3</v>
      </c>
      <c r="O4" s="2"/>
      <c r="P4" s="56"/>
    </row>
    <row r="5" spans="1:20" s="53" customFormat="1" ht="9.6" hidden="1" customHeight="1" x14ac:dyDescent="0.3">
      <c r="C5" s="59"/>
      <c r="D5" s="59"/>
      <c r="E5" s="59"/>
      <c r="N5" s="54" t="s">
        <v>4</v>
      </c>
      <c r="O5" s="3"/>
      <c r="P5" s="56"/>
    </row>
    <row r="6" spans="1:20" s="53" customFormat="1" ht="9.6" hidden="1" customHeight="1" x14ac:dyDescent="0.3">
      <c r="N6" s="54"/>
      <c r="O6" s="1"/>
      <c r="P6" s="56"/>
    </row>
    <row r="7" spans="1:20" s="53" customFormat="1" hidden="1" x14ac:dyDescent="0.3">
      <c r="N7" s="54" t="s">
        <v>5</v>
      </c>
      <c r="O7" s="3"/>
      <c r="P7" s="56"/>
    </row>
    <row r="8" spans="1:20" s="53" customFormat="1" ht="15" hidden="1" customHeight="1" x14ac:dyDescent="0.3">
      <c r="N8" s="60"/>
      <c r="O8" s="56"/>
      <c r="P8" s="56"/>
    </row>
    <row r="9" spans="1:20" ht="7.5" customHeight="1" x14ac:dyDescent="0.3">
      <c r="L9" s="56"/>
      <c r="M9" s="56"/>
      <c r="N9" s="56"/>
      <c r="O9" s="56"/>
      <c r="P9" s="56"/>
    </row>
    <row r="10" spans="1:20" ht="18.75" customHeight="1" x14ac:dyDescent="0.3">
      <c r="B10" s="175" t="s">
        <v>6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56"/>
    </row>
    <row r="11" spans="1:20" ht="18.75" customHeight="1" x14ac:dyDescent="0.3">
      <c r="B11" s="175" t="s">
        <v>7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56"/>
    </row>
    <row r="12" spans="1:20" ht="7.5" customHeight="1" x14ac:dyDescent="0.3">
      <c r="L12" s="56"/>
      <c r="M12" s="56"/>
      <c r="N12" s="56"/>
      <c r="O12" s="56"/>
      <c r="P12" s="56"/>
    </row>
    <row r="13" spans="1:20" ht="7.5" customHeight="1" x14ac:dyDescent="0.3">
      <c r="L13" s="56"/>
      <c r="M13" s="56"/>
      <c r="N13" s="56"/>
      <c r="O13" s="56"/>
      <c r="P13" s="56"/>
    </row>
    <row r="14" spans="1:20" ht="15.6" x14ac:dyDescent="0.3">
      <c r="B14" s="61" t="s">
        <v>8</v>
      </c>
      <c r="D14" s="185" t="s">
        <v>75</v>
      </c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</row>
    <row r="15" spans="1:20" ht="7.5" customHeight="1" x14ac:dyDescent="0.3">
      <c r="B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20" ht="15.6" x14ac:dyDescent="0.3">
      <c r="B16" s="61" t="s">
        <v>9</v>
      </c>
      <c r="D16" s="5" t="s">
        <v>63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pans="2:29" ht="15.6" x14ac:dyDescent="0.3">
      <c r="B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2:29" x14ac:dyDescent="0.3">
      <c r="B18" s="64"/>
      <c r="D18" s="65" t="s">
        <v>11</v>
      </c>
      <c r="E18" s="65"/>
      <c r="F18" s="6">
        <v>250</v>
      </c>
      <c r="G18" s="65" t="s">
        <v>12</v>
      </c>
    </row>
    <row r="19" spans="2:29" x14ac:dyDescent="0.3">
      <c r="B19" s="64"/>
      <c r="F19" s="65"/>
      <c r="G19" s="65"/>
    </row>
    <row r="20" spans="2:29" x14ac:dyDescent="0.3">
      <c r="B20" s="64"/>
      <c r="D20" s="66"/>
      <c r="E20" s="66"/>
      <c r="F20" s="176" t="s">
        <v>13</v>
      </c>
      <c r="G20" s="177"/>
      <c r="H20" s="178"/>
      <c r="J20" s="176" t="s">
        <v>14</v>
      </c>
      <c r="K20" s="177"/>
      <c r="L20" s="178"/>
      <c r="N20" s="176" t="s">
        <v>15</v>
      </c>
      <c r="O20" s="178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</row>
    <row r="21" spans="2:29" x14ac:dyDescent="0.3">
      <c r="B21" s="64"/>
      <c r="D21" s="179" t="s">
        <v>16</v>
      </c>
      <c r="E21" s="67"/>
      <c r="F21" s="68" t="s">
        <v>17</v>
      </c>
      <c r="G21" s="68" t="s">
        <v>18</v>
      </c>
      <c r="H21" s="69" t="s">
        <v>19</v>
      </c>
      <c r="J21" s="68" t="s">
        <v>17</v>
      </c>
      <c r="K21" s="70" t="s">
        <v>18</v>
      </c>
      <c r="L21" s="69" t="s">
        <v>19</v>
      </c>
      <c r="N21" s="181" t="s">
        <v>20</v>
      </c>
      <c r="O21" s="183" t="s">
        <v>21</v>
      </c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</row>
    <row r="22" spans="2:29" x14ac:dyDescent="0.3">
      <c r="B22" s="64"/>
      <c r="D22" s="180"/>
      <c r="E22" s="67"/>
      <c r="F22" s="71" t="s">
        <v>22</v>
      </c>
      <c r="G22" s="71"/>
      <c r="H22" s="72" t="s">
        <v>22</v>
      </c>
      <c r="J22" s="71" t="s">
        <v>22</v>
      </c>
      <c r="K22" s="72"/>
      <c r="L22" s="72" t="s">
        <v>22</v>
      </c>
      <c r="N22" s="182"/>
      <c r="O22" s="184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</row>
    <row r="23" spans="2:29" x14ac:dyDescent="0.3">
      <c r="B23" s="73" t="s">
        <v>23</v>
      </c>
      <c r="C23" s="73"/>
      <c r="D23" s="7" t="s">
        <v>24</v>
      </c>
      <c r="E23" s="73"/>
      <c r="F23" s="129">
        <v>11.58</v>
      </c>
      <c r="G23" s="74">
        <v>1</v>
      </c>
      <c r="H23" s="75">
        <f t="shared" ref="H23:H38" si="0">G23*F23</f>
        <v>11.58</v>
      </c>
      <c r="I23" s="76"/>
      <c r="J23" s="129">
        <v>9.83</v>
      </c>
      <c r="K23" s="77">
        <v>1</v>
      </c>
      <c r="L23" s="75">
        <f t="shared" ref="L23:L38" si="1">K23*J23</f>
        <v>9.83</v>
      </c>
      <c r="M23" s="76"/>
      <c r="N23" s="78">
        <f t="shared" ref="N23:N59" si="2">L23-H23</f>
        <v>-1.75</v>
      </c>
      <c r="O23" s="79">
        <f t="shared" ref="O23:O45" si="3">IF((H23)=0,"",(N23/H23))</f>
        <v>-0.15112262521588946</v>
      </c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</row>
    <row r="24" spans="2:29" x14ac:dyDescent="0.3">
      <c r="B24" s="73" t="s">
        <v>25</v>
      </c>
      <c r="C24" s="73"/>
      <c r="D24" s="7" t="s">
        <v>24</v>
      </c>
      <c r="E24" s="73"/>
      <c r="F24" s="133"/>
      <c r="G24" s="74">
        <v>1</v>
      </c>
      <c r="H24" s="136">
        <f t="shared" si="0"/>
        <v>0</v>
      </c>
      <c r="I24" s="76"/>
      <c r="J24" s="130"/>
      <c r="K24" s="77">
        <v>1</v>
      </c>
      <c r="L24" s="136">
        <f t="shared" si="1"/>
        <v>0</v>
      </c>
      <c r="M24" s="76"/>
      <c r="N24" s="137">
        <f t="shared" si="2"/>
        <v>0</v>
      </c>
      <c r="O24" s="79" t="str">
        <f t="shared" si="3"/>
        <v/>
      </c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</row>
    <row r="25" spans="2:29" x14ac:dyDescent="0.3">
      <c r="B25" s="9"/>
      <c r="C25" s="73"/>
      <c r="D25" s="7"/>
      <c r="E25" s="73"/>
      <c r="F25" s="134"/>
      <c r="G25" s="74">
        <v>1</v>
      </c>
      <c r="H25" s="136">
        <f t="shared" si="0"/>
        <v>0</v>
      </c>
      <c r="I25" s="76"/>
      <c r="J25" s="131"/>
      <c r="K25" s="77">
        <v>1</v>
      </c>
      <c r="L25" s="136">
        <f t="shared" si="1"/>
        <v>0</v>
      </c>
      <c r="M25" s="76"/>
      <c r="N25" s="137">
        <f t="shared" si="2"/>
        <v>0</v>
      </c>
      <c r="O25" s="79" t="str">
        <f t="shared" si="3"/>
        <v/>
      </c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</row>
    <row r="26" spans="2:29" x14ac:dyDescent="0.3">
      <c r="B26" s="9"/>
      <c r="C26" s="73"/>
      <c r="D26" s="7"/>
      <c r="E26" s="73"/>
      <c r="F26" s="134"/>
      <c r="G26" s="74">
        <v>1</v>
      </c>
      <c r="H26" s="136">
        <f t="shared" si="0"/>
        <v>0</v>
      </c>
      <c r="I26" s="76"/>
      <c r="J26" s="131"/>
      <c r="K26" s="77">
        <v>1</v>
      </c>
      <c r="L26" s="136">
        <f t="shared" si="1"/>
        <v>0</v>
      </c>
      <c r="M26" s="76"/>
      <c r="N26" s="137">
        <f t="shared" si="2"/>
        <v>0</v>
      </c>
      <c r="O26" s="79" t="str">
        <f t="shared" si="3"/>
        <v/>
      </c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</row>
    <row r="27" spans="2:29" x14ac:dyDescent="0.3">
      <c r="B27" s="10"/>
      <c r="C27" s="73"/>
      <c r="D27" s="7"/>
      <c r="E27" s="73"/>
      <c r="F27" s="134"/>
      <c r="G27" s="74">
        <v>1</v>
      </c>
      <c r="H27" s="136">
        <f t="shared" si="0"/>
        <v>0</v>
      </c>
      <c r="I27" s="76"/>
      <c r="J27" s="131"/>
      <c r="K27" s="77">
        <v>1</v>
      </c>
      <c r="L27" s="136">
        <f t="shared" si="1"/>
        <v>0</v>
      </c>
      <c r="M27" s="76"/>
      <c r="N27" s="137">
        <f t="shared" si="2"/>
        <v>0</v>
      </c>
      <c r="O27" s="79" t="str">
        <f t="shared" si="3"/>
        <v/>
      </c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</row>
    <row r="28" spans="2:29" x14ac:dyDescent="0.3">
      <c r="B28" s="10"/>
      <c r="C28" s="73"/>
      <c r="D28" s="7"/>
      <c r="E28" s="73"/>
      <c r="F28" s="134"/>
      <c r="G28" s="74">
        <v>1</v>
      </c>
      <c r="H28" s="136">
        <f t="shared" si="0"/>
        <v>0</v>
      </c>
      <c r="I28" s="76"/>
      <c r="J28" s="131"/>
      <c r="K28" s="77">
        <v>1</v>
      </c>
      <c r="L28" s="136">
        <f t="shared" si="1"/>
        <v>0</v>
      </c>
      <c r="M28" s="76"/>
      <c r="N28" s="137">
        <f t="shared" si="2"/>
        <v>0</v>
      </c>
      <c r="O28" s="79" t="str">
        <f t="shared" si="3"/>
        <v/>
      </c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</row>
    <row r="29" spans="2:29" x14ac:dyDescent="0.3">
      <c r="B29" s="73" t="s">
        <v>26</v>
      </c>
      <c r="C29" s="73"/>
      <c r="D29" s="7" t="s">
        <v>27</v>
      </c>
      <c r="E29" s="73"/>
      <c r="F29" s="135">
        <v>1.0800000000000001E-2</v>
      </c>
      <c r="G29" s="74">
        <f>$F$18</f>
        <v>250</v>
      </c>
      <c r="H29" s="136">
        <f t="shared" si="0"/>
        <v>2.7</v>
      </c>
      <c r="I29" s="76"/>
      <c r="J29" s="132">
        <v>9.1999999999999998E-3</v>
      </c>
      <c r="K29" s="74">
        <f>$F$18</f>
        <v>250</v>
      </c>
      <c r="L29" s="136">
        <f t="shared" si="1"/>
        <v>2.2999999999999998</v>
      </c>
      <c r="M29" s="76"/>
      <c r="N29" s="137">
        <f t="shared" si="2"/>
        <v>-0.40000000000000036</v>
      </c>
      <c r="O29" s="79">
        <f t="shared" si="3"/>
        <v>-0.14814814814814828</v>
      </c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</row>
    <row r="30" spans="2:29" x14ac:dyDescent="0.3">
      <c r="B30" s="73" t="s">
        <v>28</v>
      </c>
      <c r="C30" s="73"/>
      <c r="D30" s="7" t="s">
        <v>24</v>
      </c>
      <c r="E30" s="73"/>
      <c r="F30" s="135"/>
      <c r="G30" s="74">
        <v>1</v>
      </c>
      <c r="H30" s="136">
        <f t="shared" si="0"/>
        <v>0</v>
      </c>
      <c r="I30" s="76"/>
      <c r="J30" s="132"/>
      <c r="K30" s="74">
        <f>$F$18</f>
        <v>250</v>
      </c>
      <c r="L30" s="136">
        <f t="shared" si="1"/>
        <v>0</v>
      </c>
      <c r="M30" s="76"/>
      <c r="N30" s="137">
        <f t="shared" si="2"/>
        <v>0</v>
      </c>
      <c r="O30" s="79" t="str">
        <f t="shared" si="3"/>
        <v/>
      </c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</row>
    <row r="31" spans="2:29" x14ac:dyDescent="0.3">
      <c r="B31" s="73" t="s">
        <v>29</v>
      </c>
      <c r="C31" s="73"/>
      <c r="D31" s="7" t="s">
        <v>27</v>
      </c>
      <c r="E31" s="73"/>
      <c r="F31" s="135">
        <v>2.9999999999999997E-4</v>
      </c>
      <c r="G31" s="74">
        <f>$F$18</f>
        <v>250</v>
      </c>
      <c r="H31" s="136">
        <f t="shared" si="0"/>
        <v>7.4999999999999997E-2</v>
      </c>
      <c r="I31" s="76"/>
      <c r="J31" s="132">
        <v>0</v>
      </c>
      <c r="K31" s="74">
        <f>$F$18</f>
        <v>250</v>
      </c>
      <c r="L31" s="136">
        <f t="shared" si="1"/>
        <v>0</v>
      </c>
      <c r="M31" s="76"/>
      <c r="N31" s="137">
        <f t="shared" si="2"/>
        <v>-7.4999999999999997E-2</v>
      </c>
      <c r="O31" s="79">
        <f t="shared" si="3"/>
        <v>-1</v>
      </c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</row>
    <row r="32" spans="2:29" x14ac:dyDescent="0.3">
      <c r="B32" s="11" t="s">
        <v>30</v>
      </c>
      <c r="C32" s="73"/>
      <c r="D32" s="7" t="s">
        <v>27</v>
      </c>
      <c r="E32" s="73"/>
      <c r="F32" s="135">
        <v>2E-3</v>
      </c>
      <c r="G32" s="74">
        <f>$F$18</f>
        <v>250</v>
      </c>
      <c r="H32" s="136">
        <f t="shared" si="0"/>
        <v>0.5</v>
      </c>
      <c r="I32" s="76"/>
      <c r="J32" s="132"/>
      <c r="K32" s="74">
        <f>$F$18</f>
        <v>250</v>
      </c>
      <c r="L32" s="136">
        <f t="shared" si="1"/>
        <v>0</v>
      </c>
      <c r="M32" s="76"/>
      <c r="N32" s="137">
        <f t="shared" si="2"/>
        <v>-0.5</v>
      </c>
      <c r="O32" s="79">
        <f t="shared" si="3"/>
        <v>-1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</row>
    <row r="33" spans="1:63" x14ac:dyDescent="0.3">
      <c r="B33" s="11" t="s">
        <v>31</v>
      </c>
      <c r="C33" s="73"/>
      <c r="D33" s="7" t="s">
        <v>27</v>
      </c>
      <c r="E33" s="73"/>
      <c r="F33" s="135">
        <v>-4.0000000000000002E-4</v>
      </c>
      <c r="G33" s="74">
        <f>$F$18</f>
        <v>250</v>
      </c>
      <c r="H33" s="136">
        <f t="shared" si="0"/>
        <v>-0.1</v>
      </c>
      <c r="I33" s="76"/>
      <c r="J33" s="132"/>
      <c r="K33" s="74">
        <f>$F$18</f>
        <v>250</v>
      </c>
      <c r="L33" s="136">
        <f t="shared" si="1"/>
        <v>0</v>
      </c>
      <c r="M33" s="76"/>
      <c r="N33" s="137">
        <f t="shared" si="2"/>
        <v>0.1</v>
      </c>
      <c r="O33" s="79">
        <f t="shared" si="3"/>
        <v>-1</v>
      </c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</row>
    <row r="34" spans="1:63" x14ac:dyDescent="0.3">
      <c r="B34" s="11" t="s">
        <v>32</v>
      </c>
      <c r="C34" s="73"/>
      <c r="D34" s="7" t="s">
        <v>24</v>
      </c>
      <c r="E34" s="73"/>
      <c r="F34" s="135"/>
      <c r="G34" s="74">
        <v>1</v>
      </c>
      <c r="H34" s="136">
        <f t="shared" si="0"/>
        <v>0</v>
      </c>
      <c r="I34" s="76"/>
      <c r="J34" s="132"/>
      <c r="K34" s="74">
        <v>1</v>
      </c>
      <c r="L34" s="136">
        <f t="shared" si="1"/>
        <v>0</v>
      </c>
      <c r="M34" s="76"/>
      <c r="N34" s="137">
        <f t="shared" si="2"/>
        <v>0</v>
      </c>
      <c r="O34" s="79" t="str">
        <f t="shared" si="3"/>
        <v/>
      </c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</row>
    <row r="35" spans="1:63" x14ac:dyDescent="0.3">
      <c r="B35" s="12" t="str">
        <f>+Residential!$B$35</f>
        <v>Rate Rider for Disposition of Account 1576</v>
      </c>
      <c r="C35" s="73"/>
      <c r="D35" s="7" t="s">
        <v>27</v>
      </c>
      <c r="E35" s="73"/>
      <c r="F35" s="134"/>
      <c r="G35" s="74">
        <f>$F$18</f>
        <v>250</v>
      </c>
      <c r="H35" s="136">
        <f t="shared" si="0"/>
        <v>0</v>
      </c>
      <c r="I35" s="76"/>
      <c r="J35" s="132">
        <v>-5.9999999999999995E-4</v>
      </c>
      <c r="K35" s="74">
        <f>$F$18</f>
        <v>250</v>
      </c>
      <c r="L35" s="136">
        <f t="shared" si="1"/>
        <v>-0.15</v>
      </c>
      <c r="M35" s="76"/>
      <c r="N35" s="137">
        <f t="shared" si="2"/>
        <v>-0.15</v>
      </c>
      <c r="O35" s="79" t="str">
        <f t="shared" si="3"/>
        <v/>
      </c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</row>
    <row r="36" spans="1:63" x14ac:dyDescent="0.3">
      <c r="B36" s="12" t="str">
        <f>+Residential!$B$36</f>
        <v xml:space="preserve">Rate Rider for Disposition of CGAAP CWIP differential </v>
      </c>
      <c r="C36" s="73"/>
      <c r="D36" s="7" t="s">
        <v>27</v>
      </c>
      <c r="E36" s="73"/>
      <c r="F36" s="134"/>
      <c r="G36" s="74">
        <f>$F$18</f>
        <v>250</v>
      </c>
      <c r="H36" s="136">
        <f t="shared" si="0"/>
        <v>0</v>
      </c>
      <c r="I36" s="76"/>
      <c r="J36" s="132">
        <v>2.9999999999999997E-4</v>
      </c>
      <c r="K36" s="74">
        <f>$F$18</f>
        <v>250</v>
      </c>
      <c r="L36" s="136">
        <f t="shared" si="1"/>
        <v>7.4999999999999997E-2</v>
      </c>
      <c r="M36" s="76"/>
      <c r="N36" s="137">
        <f t="shared" si="2"/>
        <v>7.4999999999999997E-2</v>
      </c>
      <c r="O36" s="79" t="str">
        <f t="shared" si="3"/>
        <v/>
      </c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</row>
    <row r="37" spans="1:63" x14ac:dyDescent="0.3">
      <c r="B37" s="12" t="str">
        <f>+Residential!$B$37</f>
        <v xml:space="preserve">Rate Rider for Disposition of Incremental Capital Expenditures </v>
      </c>
      <c r="C37" s="73"/>
      <c r="D37" s="7" t="s">
        <v>27</v>
      </c>
      <c r="E37" s="73"/>
      <c r="F37" s="131"/>
      <c r="G37" s="74">
        <f>$F$18</f>
        <v>250</v>
      </c>
      <c r="H37" s="136">
        <f t="shared" si="0"/>
        <v>0</v>
      </c>
      <c r="I37" s="76"/>
      <c r="J37" s="132">
        <v>2.0000000000000001E-4</v>
      </c>
      <c r="K37" s="74">
        <f>$F$18</f>
        <v>250</v>
      </c>
      <c r="L37" s="136">
        <f t="shared" si="1"/>
        <v>0.05</v>
      </c>
      <c r="M37" s="76"/>
      <c r="N37" s="137">
        <f t="shared" si="2"/>
        <v>0.05</v>
      </c>
      <c r="O37" s="79" t="str">
        <f t="shared" si="3"/>
        <v/>
      </c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</row>
    <row r="38" spans="1:63" x14ac:dyDescent="0.3">
      <c r="B38" s="12"/>
      <c r="C38" s="73"/>
      <c r="D38" s="7"/>
      <c r="E38" s="73"/>
      <c r="F38" s="131"/>
      <c r="G38" s="74">
        <f>$F$18</f>
        <v>250</v>
      </c>
      <c r="H38" s="136">
        <f t="shared" si="0"/>
        <v>0</v>
      </c>
      <c r="I38" s="76"/>
      <c r="J38" s="131"/>
      <c r="K38" s="74">
        <f>$F$18</f>
        <v>250</v>
      </c>
      <c r="L38" s="136">
        <f t="shared" si="1"/>
        <v>0</v>
      </c>
      <c r="M38" s="76"/>
      <c r="N38" s="137">
        <f t="shared" si="2"/>
        <v>0</v>
      </c>
      <c r="O38" s="79" t="str">
        <f t="shared" si="3"/>
        <v/>
      </c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</row>
    <row r="39" spans="1:63" s="4" customFormat="1" x14ac:dyDescent="0.3">
      <c r="A39" s="60"/>
      <c r="B39" s="19" t="s">
        <v>33</v>
      </c>
      <c r="C39" s="20"/>
      <c r="D39" s="20"/>
      <c r="E39" s="20"/>
      <c r="F39" s="21"/>
      <c r="G39" s="22"/>
      <c r="H39" s="23">
        <f>SUM(H23:H38)</f>
        <v>14.755000000000001</v>
      </c>
      <c r="I39" s="13"/>
      <c r="J39" s="14"/>
      <c r="K39" s="24"/>
      <c r="L39" s="23">
        <f>SUM(L23:L38)</f>
        <v>12.104999999999999</v>
      </c>
      <c r="M39" s="13"/>
      <c r="N39" s="15">
        <f t="shared" si="2"/>
        <v>-2.6500000000000021</v>
      </c>
      <c r="O39" s="16">
        <f t="shared" si="3"/>
        <v>-0.17960013554727225</v>
      </c>
      <c r="P39" s="60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</row>
    <row r="40" spans="1:63" x14ac:dyDescent="0.3">
      <c r="B40" s="17" t="s">
        <v>34</v>
      </c>
      <c r="C40" s="73"/>
      <c r="D40" s="7" t="s">
        <v>27</v>
      </c>
      <c r="E40" s="73"/>
      <c r="F40" s="135">
        <v>2.9999999999999997E-4</v>
      </c>
      <c r="G40" s="74">
        <f>$F$18</f>
        <v>250</v>
      </c>
      <c r="H40" s="136">
        <f t="shared" ref="H40:H46" si="4">G40*F40</f>
        <v>7.4999999999999997E-2</v>
      </c>
      <c r="I40" s="76"/>
      <c r="J40" s="132">
        <v>-6.9999999999999999E-4</v>
      </c>
      <c r="K40" s="74">
        <f>$F$18</f>
        <v>250</v>
      </c>
      <c r="L40" s="136">
        <f t="shared" ref="L40:L46" si="5">K40*J40</f>
        <v>-0.17499999999999999</v>
      </c>
      <c r="M40" s="76"/>
      <c r="N40" s="137">
        <f t="shared" si="2"/>
        <v>-0.25</v>
      </c>
      <c r="O40" s="79">
        <f t="shared" si="3"/>
        <v>-3.3333333333333335</v>
      </c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</row>
    <row r="41" spans="1:63" x14ac:dyDescent="0.3">
      <c r="B41" s="17"/>
      <c r="C41" s="73"/>
      <c r="D41" s="7"/>
      <c r="E41" s="73"/>
      <c r="F41" s="8"/>
      <c r="G41" s="74">
        <f>$F$18</f>
        <v>250</v>
      </c>
      <c r="H41" s="136">
        <f t="shared" si="4"/>
        <v>0</v>
      </c>
      <c r="I41" s="82"/>
      <c r="J41" s="8"/>
      <c r="K41" s="74">
        <f>$F$18</f>
        <v>250</v>
      </c>
      <c r="L41" s="136">
        <f t="shared" si="5"/>
        <v>0</v>
      </c>
      <c r="M41" s="83"/>
      <c r="N41" s="137">
        <f t="shared" si="2"/>
        <v>0</v>
      </c>
      <c r="O41" s="79" t="str">
        <f t="shared" si="3"/>
        <v/>
      </c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</row>
    <row r="42" spans="1:63" x14ac:dyDescent="0.3">
      <c r="B42" s="17"/>
      <c r="C42" s="73"/>
      <c r="D42" s="7"/>
      <c r="E42" s="73"/>
      <c r="F42" s="8"/>
      <c r="G42" s="74">
        <f>$F$18</f>
        <v>250</v>
      </c>
      <c r="H42" s="136">
        <f t="shared" si="4"/>
        <v>0</v>
      </c>
      <c r="I42" s="82"/>
      <c r="J42" s="8"/>
      <c r="K42" s="74">
        <f>$F$18</f>
        <v>250</v>
      </c>
      <c r="L42" s="136">
        <f t="shared" si="5"/>
        <v>0</v>
      </c>
      <c r="M42" s="83"/>
      <c r="N42" s="137">
        <f t="shared" si="2"/>
        <v>0</v>
      </c>
      <c r="O42" s="79" t="str">
        <f t="shared" si="3"/>
        <v/>
      </c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</row>
    <row r="43" spans="1:63" x14ac:dyDescent="0.3">
      <c r="B43" s="17"/>
      <c r="C43" s="73"/>
      <c r="D43" s="7"/>
      <c r="E43" s="73"/>
      <c r="F43" s="8"/>
      <c r="G43" s="74">
        <f>$F$18</f>
        <v>250</v>
      </c>
      <c r="H43" s="136">
        <f t="shared" si="4"/>
        <v>0</v>
      </c>
      <c r="I43" s="82"/>
      <c r="J43" s="8"/>
      <c r="K43" s="74">
        <f>$F$18</f>
        <v>250</v>
      </c>
      <c r="L43" s="136">
        <f t="shared" si="5"/>
        <v>0</v>
      </c>
      <c r="M43" s="83"/>
      <c r="N43" s="137">
        <f t="shared" si="2"/>
        <v>0</v>
      </c>
      <c r="O43" s="79" t="str">
        <f t="shared" si="3"/>
        <v/>
      </c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</row>
    <row r="44" spans="1:63" x14ac:dyDescent="0.3">
      <c r="B44" s="80" t="s">
        <v>35</v>
      </c>
      <c r="C44" s="73"/>
      <c r="D44" s="7" t="s">
        <v>27</v>
      </c>
      <c r="E44" s="73"/>
      <c r="F44" s="135">
        <v>2.0000000000000001E-4</v>
      </c>
      <c r="G44" s="74">
        <f>$F$18</f>
        <v>250</v>
      </c>
      <c r="H44" s="136">
        <f t="shared" si="4"/>
        <v>0.05</v>
      </c>
      <c r="I44" s="76"/>
      <c r="J44" s="132">
        <v>2.9999999999999997E-4</v>
      </c>
      <c r="K44" s="74">
        <f>$F$18</f>
        <v>250</v>
      </c>
      <c r="L44" s="136">
        <f t="shared" si="5"/>
        <v>7.4999999999999997E-2</v>
      </c>
      <c r="M44" s="76"/>
      <c r="N44" s="137">
        <f t="shared" si="2"/>
        <v>2.4999999999999994E-2</v>
      </c>
      <c r="O44" s="79">
        <f t="shared" si="3"/>
        <v>0.49999999999999989</v>
      </c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</row>
    <row r="45" spans="1:63" x14ac:dyDescent="0.3">
      <c r="B45" s="80" t="s">
        <v>36</v>
      </c>
      <c r="C45" s="73"/>
      <c r="D45" s="7" t="s">
        <v>27</v>
      </c>
      <c r="E45" s="73"/>
      <c r="F45" s="138">
        <f>IF(ISBLANK(D16)=TRUE, 0, IF(D16="TOU", 0.64*$F55+0.18*$F56+0.18*$F57, IF(AND(D16="non-TOU", G59&gt;0), F59,F58)))</f>
        <v>7.4999999999999997E-2</v>
      </c>
      <c r="G45" s="18">
        <f>$F$18*(1+$F$74)-$F$18</f>
        <v>9.4250000000000114</v>
      </c>
      <c r="H45" s="136">
        <f t="shared" si="4"/>
        <v>0.70687500000000081</v>
      </c>
      <c r="I45" s="76"/>
      <c r="J45" s="138">
        <f>+F45</f>
        <v>7.4999999999999997E-2</v>
      </c>
      <c r="K45" s="18">
        <f>$F$18*(1+$J$74)-$F$18</f>
        <v>9.4000000000000341</v>
      </c>
      <c r="L45" s="136">
        <f t="shared" si="5"/>
        <v>0.70500000000000251</v>
      </c>
      <c r="M45" s="76"/>
      <c r="N45" s="137">
        <f t="shared" si="2"/>
        <v>-1.8749999999982947E-3</v>
      </c>
      <c r="O45" s="79">
        <f t="shared" si="3"/>
        <v>-2.6525198938967889E-3</v>
      </c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</row>
    <row r="46" spans="1:63" x14ac:dyDescent="0.3">
      <c r="B46" s="80" t="s">
        <v>37</v>
      </c>
      <c r="C46" s="73"/>
      <c r="D46" s="7" t="s">
        <v>24</v>
      </c>
      <c r="E46" s="73"/>
      <c r="F46" s="138"/>
      <c r="G46" s="74">
        <v>1</v>
      </c>
      <c r="H46" s="136">
        <f t="shared" si="4"/>
        <v>0</v>
      </c>
      <c r="I46" s="76"/>
      <c r="J46" s="138"/>
      <c r="K46" s="81">
        <v>1</v>
      </c>
      <c r="L46" s="136">
        <f t="shared" si="5"/>
        <v>0</v>
      </c>
      <c r="M46" s="76"/>
      <c r="N46" s="137">
        <f t="shared" si="2"/>
        <v>0</v>
      </c>
      <c r="O46" s="79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</row>
    <row r="47" spans="1:63" s="4" customFormat="1" x14ac:dyDescent="0.3">
      <c r="A47" s="60"/>
      <c r="B47" s="19" t="s">
        <v>38</v>
      </c>
      <c r="C47" s="20"/>
      <c r="D47" s="20"/>
      <c r="E47" s="20"/>
      <c r="F47" s="21"/>
      <c r="G47" s="22"/>
      <c r="H47" s="23">
        <f>SUM(H40:H46)+H39</f>
        <v>15.586875000000001</v>
      </c>
      <c r="I47" s="13"/>
      <c r="J47" s="22"/>
      <c r="K47" s="24"/>
      <c r="L47" s="23">
        <f>SUM(L40:L46)+L39</f>
        <v>12.71</v>
      </c>
      <c r="M47" s="13"/>
      <c r="N47" s="15">
        <f t="shared" si="2"/>
        <v>-2.8768750000000001</v>
      </c>
      <c r="O47" s="16">
        <f t="shared" ref="O47:O59" si="6">IF((H47)=0,"",(N47/H47))</f>
        <v>-0.18457035165804561</v>
      </c>
      <c r="P47" s="60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</row>
    <row r="48" spans="1:63" x14ac:dyDescent="0.3">
      <c r="B48" s="76" t="s">
        <v>39</v>
      </c>
      <c r="C48" s="76"/>
      <c r="D48" s="25" t="s">
        <v>27</v>
      </c>
      <c r="E48" s="76"/>
      <c r="F48" s="135">
        <v>7.4000000000000003E-3</v>
      </c>
      <c r="G48" s="18">
        <f>F18*(1+F74)</f>
        <v>259.42500000000001</v>
      </c>
      <c r="H48" s="136">
        <f>G48*F48</f>
        <v>1.9197450000000003</v>
      </c>
      <c r="I48" s="76"/>
      <c r="J48" s="135">
        <v>7.3000000000000001E-3</v>
      </c>
      <c r="K48" s="18">
        <f>F18*(1+J74)</f>
        <v>259.40000000000003</v>
      </c>
      <c r="L48" s="136">
        <f>K48*J48</f>
        <v>1.8936200000000003</v>
      </c>
      <c r="M48" s="76"/>
      <c r="N48" s="136">
        <f t="shared" si="2"/>
        <v>-2.6124999999999954E-2</v>
      </c>
      <c r="O48" s="79">
        <f t="shared" si="6"/>
        <v>-1.36085782226285E-2</v>
      </c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</row>
    <row r="49" spans="1:63" x14ac:dyDescent="0.3">
      <c r="B49" s="85" t="s">
        <v>40</v>
      </c>
      <c r="C49" s="76"/>
      <c r="D49" s="25" t="s">
        <v>27</v>
      </c>
      <c r="E49" s="76"/>
      <c r="F49" s="135">
        <v>5.0000000000000001E-3</v>
      </c>
      <c r="G49" s="18">
        <f>G48</f>
        <v>259.42500000000001</v>
      </c>
      <c r="H49" s="136">
        <f>G49*F49</f>
        <v>1.2971250000000001</v>
      </c>
      <c r="I49" s="76"/>
      <c r="J49" s="135">
        <v>4.7999999999999996E-3</v>
      </c>
      <c r="K49" s="18">
        <f>K48</f>
        <v>259.40000000000003</v>
      </c>
      <c r="L49" s="136">
        <f>K49*J49</f>
        <v>1.24512</v>
      </c>
      <c r="M49" s="76"/>
      <c r="N49" s="136">
        <f t="shared" si="2"/>
        <v>-5.2005000000000079E-2</v>
      </c>
      <c r="O49" s="79">
        <f t="shared" si="6"/>
        <v>-4.0092512286788146E-2</v>
      </c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</row>
    <row r="50" spans="1:63" s="4" customFormat="1" x14ac:dyDescent="0.3">
      <c r="A50" s="60"/>
      <c r="B50" s="19" t="s">
        <v>41</v>
      </c>
      <c r="C50" s="20"/>
      <c r="D50" s="20"/>
      <c r="E50" s="20"/>
      <c r="F50" s="21"/>
      <c r="G50" s="22"/>
      <c r="H50" s="23">
        <f>SUM(H47:H49)</f>
        <v>18.803745000000003</v>
      </c>
      <c r="I50" s="13"/>
      <c r="J50" s="26"/>
      <c r="K50" s="22"/>
      <c r="L50" s="23">
        <f>SUM(L47:L49)</f>
        <v>15.848740000000001</v>
      </c>
      <c r="M50" s="13"/>
      <c r="N50" s="15">
        <f t="shared" si="2"/>
        <v>-2.9550050000000017</v>
      </c>
      <c r="O50" s="16">
        <f t="shared" si="6"/>
        <v>-0.15714981244427645</v>
      </c>
      <c r="P50" s="60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</row>
    <row r="51" spans="1:63" x14ac:dyDescent="0.3">
      <c r="B51" s="86" t="s">
        <v>42</v>
      </c>
      <c r="C51" s="73"/>
      <c r="D51" s="7" t="s">
        <v>27</v>
      </c>
      <c r="E51" s="73"/>
      <c r="F51" s="135">
        <v>4.4000000000000003E-3</v>
      </c>
      <c r="G51" s="18">
        <f>G49</f>
        <v>259.42500000000001</v>
      </c>
      <c r="H51" s="139">
        <f t="shared" ref="H51:H59" si="7">G51*F51</f>
        <v>1.1414700000000002</v>
      </c>
      <c r="I51" s="76"/>
      <c r="J51" s="135">
        <f>+F51</f>
        <v>4.4000000000000003E-3</v>
      </c>
      <c r="K51" s="18">
        <f>K49</f>
        <v>259.40000000000003</v>
      </c>
      <c r="L51" s="139">
        <f t="shared" ref="L51:L59" si="8">K51*J51</f>
        <v>1.1413600000000002</v>
      </c>
      <c r="M51" s="76"/>
      <c r="N51" s="137">
        <f t="shared" si="2"/>
        <v>-1.100000000000545E-4</v>
      </c>
      <c r="O51" s="87">
        <f t="shared" si="6"/>
        <v>-9.6366965404307147E-5</v>
      </c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</row>
    <row r="52" spans="1:63" x14ac:dyDescent="0.3">
      <c r="B52" s="86" t="s">
        <v>43</v>
      </c>
      <c r="C52" s="73"/>
      <c r="D52" s="7" t="s">
        <v>27</v>
      </c>
      <c r="E52" s="73"/>
      <c r="F52" s="135">
        <v>1.1999999999999999E-3</v>
      </c>
      <c r="G52" s="18">
        <f>G49</f>
        <v>259.42500000000001</v>
      </c>
      <c r="H52" s="139">
        <f t="shared" si="7"/>
        <v>0.31130999999999998</v>
      </c>
      <c r="I52" s="76"/>
      <c r="J52" s="135">
        <v>1.2999999999999999E-3</v>
      </c>
      <c r="K52" s="18">
        <f>K49</f>
        <v>259.40000000000003</v>
      </c>
      <c r="L52" s="139">
        <f t="shared" si="8"/>
        <v>0.33722000000000002</v>
      </c>
      <c r="M52" s="76"/>
      <c r="N52" s="137">
        <f t="shared" si="2"/>
        <v>2.5910000000000044E-2</v>
      </c>
      <c r="O52" s="87">
        <f t="shared" si="6"/>
        <v>8.3228935787478864E-2</v>
      </c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</row>
    <row r="53" spans="1:63" x14ac:dyDescent="0.3">
      <c r="B53" s="73" t="s">
        <v>44</v>
      </c>
      <c r="C53" s="73"/>
      <c r="D53" s="7" t="s">
        <v>24</v>
      </c>
      <c r="E53" s="73"/>
      <c r="F53" s="135">
        <v>0.25</v>
      </c>
      <c r="G53" s="81">
        <v>1</v>
      </c>
      <c r="H53" s="139">
        <f t="shared" si="7"/>
        <v>0.25</v>
      </c>
      <c r="I53" s="76"/>
      <c r="J53" s="135">
        <f>+F53</f>
        <v>0.25</v>
      </c>
      <c r="K53" s="77">
        <v>1</v>
      </c>
      <c r="L53" s="139">
        <f t="shared" si="8"/>
        <v>0.25</v>
      </c>
      <c r="M53" s="76"/>
      <c r="N53" s="137">
        <f t="shared" si="2"/>
        <v>0</v>
      </c>
      <c r="O53" s="87">
        <f t="shared" si="6"/>
        <v>0</v>
      </c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</row>
    <row r="54" spans="1:63" x14ac:dyDescent="0.3">
      <c r="B54" s="73" t="s">
        <v>45</v>
      </c>
      <c r="C54" s="73"/>
      <c r="D54" s="7" t="s">
        <v>27</v>
      </c>
      <c r="E54" s="73"/>
      <c r="F54" s="135">
        <v>7.0000000000000001E-3</v>
      </c>
      <c r="G54" s="84">
        <f>F18</f>
        <v>250</v>
      </c>
      <c r="H54" s="139">
        <f t="shared" si="7"/>
        <v>1.75</v>
      </c>
      <c r="I54" s="76"/>
      <c r="J54" s="135">
        <f>+F54</f>
        <v>7.0000000000000001E-3</v>
      </c>
      <c r="K54" s="77">
        <f>F18</f>
        <v>250</v>
      </c>
      <c r="L54" s="139">
        <f t="shared" si="8"/>
        <v>1.75</v>
      </c>
      <c r="M54" s="76"/>
      <c r="N54" s="137">
        <f t="shared" si="2"/>
        <v>0</v>
      </c>
      <c r="O54" s="87">
        <f t="shared" si="6"/>
        <v>0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</row>
    <row r="55" spans="1:63" x14ac:dyDescent="0.3">
      <c r="B55" s="80" t="s">
        <v>46</v>
      </c>
      <c r="C55" s="73"/>
      <c r="D55" s="7" t="s">
        <v>27</v>
      </c>
      <c r="E55" s="73"/>
      <c r="F55" s="138">
        <v>6.7000000000000004E-2</v>
      </c>
      <c r="G55" s="27">
        <f>0.64*$F$18</f>
        <v>160</v>
      </c>
      <c r="H55" s="139">
        <f t="shared" si="7"/>
        <v>10.72</v>
      </c>
      <c r="I55" s="76"/>
      <c r="J55" s="138">
        <v>6.7000000000000004E-2</v>
      </c>
      <c r="K55" s="28">
        <f>G55</f>
        <v>160</v>
      </c>
      <c r="L55" s="139">
        <f t="shared" si="8"/>
        <v>10.72</v>
      </c>
      <c r="M55" s="76"/>
      <c r="N55" s="137">
        <f t="shared" si="2"/>
        <v>0</v>
      </c>
      <c r="O55" s="87">
        <f t="shared" si="6"/>
        <v>0</v>
      </c>
      <c r="Q55" s="126"/>
      <c r="R55" s="126"/>
      <c r="S55" s="127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</row>
    <row r="56" spans="1:63" x14ac:dyDescent="0.3">
      <c r="B56" s="80" t="s">
        <v>47</v>
      </c>
      <c r="C56" s="73"/>
      <c r="D56" s="7" t="s">
        <v>27</v>
      </c>
      <c r="E56" s="73"/>
      <c r="F56" s="138">
        <v>0.104</v>
      </c>
      <c r="G56" s="27">
        <f>0.18*$F$18</f>
        <v>45</v>
      </c>
      <c r="H56" s="139">
        <f t="shared" si="7"/>
        <v>4.68</v>
      </c>
      <c r="I56" s="76"/>
      <c r="J56" s="138">
        <v>0.104</v>
      </c>
      <c r="K56" s="28">
        <f>G56</f>
        <v>45</v>
      </c>
      <c r="L56" s="139">
        <f t="shared" si="8"/>
        <v>4.68</v>
      </c>
      <c r="M56" s="76"/>
      <c r="N56" s="137">
        <f t="shared" si="2"/>
        <v>0</v>
      </c>
      <c r="O56" s="87">
        <f t="shared" si="6"/>
        <v>0</v>
      </c>
      <c r="Q56" s="126"/>
      <c r="R56" s="126"/>
      <c r="S56" s="127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</row>
    <row r="57" spans="1:63" x14ac:dyDescent="0.3">
      <c r="B57" s="64" t="s">
        <v>48</v>
      </c>
      <c r="C57" s="73"/>
      <c r="D57" s="7" t="s">
        <v>27</v>
      </c>
      <c r="E57" s="73"/>
      <c r="F57" s="138">
        <v>0.124</v>
      </c>
      <c r="G57" s="27">
        <f>0.18*$F$18</f>
        <v>45</v>
      </c>
      <c r="H57" s="139">
        <f t="shared" si="7"/>
        <v>5.58</v>
      </c>
      <c r="I57" s="76"/>
      <c r="J57" s="138">
        <v>0.124</v>
      </c>
      <c r="K57" s="28">
        <f>G57</f>
        <v>45</v>
      </c>
      <c r="L57" s="139">
        <f t="shared" si="8"/>
        <v>5.58</v>
      </c>
      <c r="M57" s="76"/>
      <c r="N57" s="137">
        <f t="shared" si="2"/>
        <v>0</v>
      </c>
      <c r="O57" s="87">
        <f t="shared" si="6"/>
        <v>0</v>
      </c>
      <c r="Q57" s="126"/>
      <c r="R57" s="126"/>
      <c r="S57" s="127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</row>
    <row r="58" spans="1:63" s="92" customFormat="1" x14ac:dyDescent="0.25">
      <c r="B58" s="89" t="s">
        <v>49</v>
      </c>
      <c r="C58" s="90"/>
      <c r="D58" s="29" t="s">
        <v>27</v>
      </c>
      <c r="E58" s="90"/>
      <c r="F58" s="138">
        <v>7.4999999999999997E-2</v>
      </c>
      <c r="G58" s="30">
        <f>+F18</f>
        <v>250</v>
      </c>
      <c r="H58" s="139">
        <f t="shared" si="7"/>
        <v>18.75</v>
      </c>
      <c r="I58" s="91"/>
      <c r="J58" s="138">
        <v>7.4999999999999997E-2</v>
      </c>
      <c r="K58" s="31">
        <f>G58</f>
        <v>250</v>
      </c>
      <c r="L58" s="139">
        <f t="shared" si="8"/>
        <v>18.75</v>
      </c>
      <c r="M58" s="91"/>
      <c r="N58" s="140">
        <f t="shared" si="2"/>
        <v>0</v>
      </c>
      <c r="O58" s="87">
        <f t="shared" si="6"/>
        <v>0</v>
      </c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</row>
    <row r="59" spans="1:63" s="92" customFormat="1" ht="15" thickBot="1" x14ac:dyDescent="0.3">
      <c r="B59" s="89" t="s">
        <v>50</v>
      </c>
      <c r="C59" s="90"/>
      <c r="D59" s="29" t="s">
        <v>27</v>
      </c>
      <c r="E59" s="90"/>
      <c r="F59" s="138">
        <v>8.7999999999999995E-2</v>
      </c>
      <c r="G59" s="30"/>
      <c r="H59" s="139">
        <f t="shared" si="7"/>
        <v>0</v>
      </c>
      <c r="I59" s="91"/>
      <c r="J59" s="138">
        <v>8.7999999999999995E-2</v>
      </c>
      <c r="K59" s="31">
        <f>G59</f>
        <v>0</v>
      </c>
      <c r="L59" s="139">
        <f t="shared" si="8"/>
        <v>0</v>
      </c>
      <c r="M59" s="91"/>
      <c r="N59" s="140">
        <f t="shared" si="2"/>
        <v>0</v>
      </c>
      <c r="O59" s="87" t="str">
        <f t="shared" si="6"/>
        <v/>
      </c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</row>
    <row r="60" spans="1:63" s="4" customFormat="1" ht="15" thickBot="1" x14ac:dyDescent="0.35">
      <c r="A60" s="60"/>
      <c r="B60" s="32"/>
      <c r="C60" s="33"/>
      <c r="D60" s="124"/>
      <c r="E60" s="33"/>
      <c r="F60" s="35"/>
      <c r="G60" s="36"/>
      <c r="H60" s="122"/>
      <c r="I60" s="123"/>
      <c r="J60" s="35"/>
      <c r="K60" s="39"/>
      <c r="L60" s="122"/>
      <c r="M60" s="123"/>
      <c r="N60" s="40"/>
      <c r="O60" s="41"/>
      <c r="P60" s="60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</row>
    <row r="61" spans="1:63" x14ac:dyDescent="0.3">
      <c r="B61" s="93" t="s">
        <v>51</v>
      </c>
      <c r="C61" s="73"/>
      <c r="D61" s="73"/>
      <c r="E61" s="73"/>
      <c r="F61" s="94"/>
      <c r="G61" s="95"/>
      <c r="H61" s="141">
        <f>SUM(H51:H57,H50)</f>
        <v>43.236525</v>
      </c>
      <c r="I61" s="96"/>
      <c r="J61" s="97"/>
      <c r="K61" s="97"/>
      <c r="L61" s="144">
        <f>SUM(L51:L57,L50)</f>
        <v>40.307319999999997</v>
      </c>
      <c r="M61" s="145"/>
      <c r="N61" s="146">
        <f>L61-H61</f>
        <v>-2.9292050000000032</v>
      </c>
      <c r="O61" s="98">
        <f>IF((H61)=0,"",(N61/H61))</f>
        <v>-6.7748390972678846E-2</v>
      </c>
      <c r="Q61" s="126"/>
      <c r="R61" s="126"/>
      <c r="S61" s="127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</row>
    <row r="62" spans="1:63" x14ac:dyDescent="0.3">
      <c r="B62" s="99" t="s">
        <v>52</v>
      </c>
      <c r="C62" s="73"/>
      <c r="D62" s="73"/>
      <c r="E62" s="73"/>
      <c r="F62" s="100">
        <v>0.13</v>
      </c>
      <c r="G62" s="101"/>
      <c r="H62" s="142">
        <f>H61*F62</f>
        <v>5.6207482500000001</v>
      </c>
      <c r="I62" s="102"/>
      <c r="J62" s="103">
        <v>0.13</v>
      </c>
      <c r="K62" s="102"/>
      <c r="L62" s="147">
        <f>L61*J62</f>
        <v>5.2399515999999995</v>
      </c>
      <c r="M62" s="148"/>
      <c r="N62" s="149">
        <f>L62-H62</f>
        <v>-0.38079665000000062</v>
      </c>
      <c r="O62" s="104">
        <f>IF((H62)=0,"",(N62/H62))</f>
        <v>-6.7748390972678887E-2</v>
      </c>
      <c r="Q62" s="126"/>
      <c r="R62" s="126"/>
      <c r="S62" s="127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</row>
    <row r="63" spans="1:63" x14ac:dyDescent="0.3">
      <c r="B63" s="105" t="s">
        <v>53</v>
      </c>
      <c r="C63" s="73"/>
      <c r="D63" s="73"/>
      <c r="E63" s="73"/>
      <c r="F63" s="106"/>
      <c r="G63" s="101"/>
      <c r="H63" s="142">
        <f>H61+H62</f>
        <v>48.857273249999999</v>
      </c>
      <c r="I63" s="102"/>
      <c r="J63" s="102"/>
      <c r="K63" s="102"/>
      <c r="L63" s="147">
        <f>L61+L62</f>
        <v>45.547271599999995</v>
      </c>
      <c r="M63" s="148"/>
      <c r="N63" s="149">
        <f>L63-H63</f>
        <v>-3.3100016500000038</v>
      </c>
      <c r="O63" s="104">
        <f>IF((H63)=0,"",(N63/H63))</f>
        <v>-6.7748390972678846E-2</v>
      </c>
      <c r="Q63" s="126"/>
      <c r="R63" s="126"/>
      <c r="S63" s="127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</row>
    <row r="64" spans="1:63" ht="14.4" customHeight="1" x14ac:dyDescent="0.3">
      <c r="B64" s="172" t="s">
        <v>54</v>
      </c>
      <c r="C64" s="172"/>
      <c r="D64" s="172"/>
      <c r="E64" s="73"/>
      <c r="F64" s="106"/>
      <c r="G64" s="101"/>
      <c r="H64" s="143">
        <f>+H63*-0.1</f>
        <v>-4.8857273250000004</v>
      </c>
      <c r="I64" s="102"/>
      <c r="J64" s="102"/>
      <c r="K64" s="102"/>
      <c r="L64" s="150">
        <f>+L63*-0.1</f>
        <v>-4.5547271599999997</v>
      </c>
      <c r="M64" s="148"/>
      <c r="N64" s="151">
        <f>L64-H64</f>
        <v>0.33100016500000073</v>
      </c>
      <c r="O64" s="107">
        <f>IF((H64)=0,"",(N64/H64))</f>
        <v>-6.7748390972678915E-2</v>
      </c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</row>
    <row r="65" spans="1:63" s="4" customFormat="1" ht="15" thickBot="1" x14ac:dyDescent="0.35">
      <c r="A65" s="60"/>
      <c r="B65" s="173" t="s">
        <v>55</v>
      </c>
      <c r="C65" s="173"/>
      <c r="D65" s="173"/>
      <c r="E65" s="42"/>
      <c r="F65" s="43"/>
      <c r="G65" s="44"/>
      <c r="H65" s="45">
        <f>H63+H64</f>
        <v>43.971545925000001</v>
      </c>
      <c r="I65" s="46"/>
      <c r="J65" s="46"/>
      <c r="K65" s="46"/>
      <c r="L65" s="47">
        <f>L63+L64</f>
        <v>40.992544439999996</v>
      </c>
      <c r="M65" s="48"/>
      <c r="N65" s="49">
        <f>L65-H65</f>
        <v>-2.9790014850000048</v>
      </c>
      <c r="O65" s="50">
        <f>IF((H65)=0,"",(N65/H65))</f>
        <v>-6.7748390972678874E-2</v>
      </c>
      <c r="P65" s="60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</row>
    <row r="66" spans="1:63" s="4" customFormat="1" ht="15" thickBot="1" x14ac:dyDescent="0.35">
      <c r="A66" s="60"/>
      <c r="B66" s="32"/>
      <c r="C66" s="33"/>
      <c r="D66" s="34"/>
      <c r="E66" s="33"/>
      <c r="F66" s="35"/>
      <c r="G66" s="36"/>
      <c r="H66" s="37"/>
      <c r="I66" s="38"/>
      <c r="J66" s="35"/>
      <c r="K66" s="39"/>
      <c r="L66" s="37"/>
      <c r="M66" s="123"/>
      <c r="N66" s="40"/>
      <c r="O66" s="41"/>
      <c r="P66" s="60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</row>
    <row r="67" spans="1:63" s="92" customFormat="1" ht="13.2" x14ac:dyDescent="0.25">
      <c r="B67" s="108" t="s">
        <v>56</v>
      </c>
      <c r="C67" s="90"/>
      <c r="D67" s="90"/>
      <c r="E67" s="90"/>
      <c r="F67" s="109"/>
      <c r="G67" s="110"/>
      <c r="H67" s="152">
        <f>SUM(H58:H59,H50,H51:H54)</f>
        <v>41.006525000000003</v>
      </c>
      <c r="I67" s="111"/>
      <c r="J67" s="112"/>
      <c r="K67" s="112"/>
      <c r="L67" s="155">
        <f>SUM(L58:L59,L50,L51:L54)</f>
        <v>38.07732</v>
      </c>
      <c r="M67" s="156"/>
      <c r="N67" s="157">
        <f>L67-H67</f>
        <v>-2.9292050000000032</v>
      </c>
      <c r="O67" s="98">
        <f>IF((H67)=0,"",(N67/H67))</f>
        <v>-7.1432656144357579E-2</v>
      </c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63" s="92" customFormat="1" ht="13.2" x14ac:dyDescent="0.25">
      <c r="B68" s="113" t="s">
        <v>52</v>
      </c>
      <c r="C68" s="90"/>
      <c r="D68" s="90"/>
      <c r="E68" s="90"/>
      <c r="F68" s="114">
        <v>0.13</v>
      </c>
      <c r="G68" s="110"/>
      <c r="H68" s="153">
        <f>H67*F68</f>
        <v>5.3308482500000007</v>
      </c>
      <c r="I68" s="115"/>
      <c r="J68" s="116">
        <v>0.13</v>
      </c>
      <c r="K68" s="117"/>
      <c r="L68" s="158">
        <f>L67*J68</f>
        <v>4.9500516000000001</v>
      </c>
      <c r="M68" s="159"/>
      <c r="N68" s="160">
        <f>L68-H68</f>
        <v>-0.38079665000000062</v>
      </c>
      <c r="O68" s="104">
        <f>IF((H68)=0,"",(N68/H68))</f>
        <v>-7.143265614435762E-2</v>
      </c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63" s="92" customFormat="1" ht="13.2" x14ac:dyDescent="0.25">
      <c r="B69" s="118" t="s">
        <v>53</v>
      </c>
      <c r="C69" s="90"/>
      <c r="D69" s="90"/>
      <c r="E69" s="90"/>
      <c r="F69" s="119"/>
      <c r="G69" s="120"/>
      <c r="H69" s="153">
        <f>H67+H68</f>
        <v>46.337373250000006</v>
      </c>
      <c r="I69" s="115"/>
      <c r="J69" s="115"/>
      <c r="K69" s="115"/>
      <c r="L69" s="158">
        <f>L67+L68</f>
        <v>43.027371600000002</v>
      </c>
      <c r="M69" s="159"/>
      <c r="N69" s="160">
        <f>L69-H69</f>
        <v>-3.3100016500000038</v>
      </c>
      <c r="O69" s="104">
        <f>IF((H69)=0,"",(N69/H69))</f>
        <v>-7.1432656144357592E-2</v>
      </c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63" s="92" customFormat="1" ht="13.2" customHeight="1" x14ac:dyDescent="0.25">
      <c r="B70" s="174" t="s">
        <v>54</v>
      </c>
      <c r="C70" s="174"/>
      <c r="D70" s="174"/>
      <c r="E70" s="90"/>
      <c r="F70" s="119"/>
      <c r="G70" s="120"/>
      <c r="H70" s="154">
        <v>0</v>
      </c>
      <c r="I70" s="115"/>
      <c r="J70" s="115"/>
      <c r="K70" s="115"/>
      <c r="L70" s="161">
        <v>0</v>
      </c>
      <c r="M70" s="159"/>
      <c r="N70" s="162">
        <f>L70-H70</f>
        <v>0</v>
      </c>
      <c r="O70" s="107" t="str">
        <f>IF((H70)=0,"",(N70/H70))</f>
        <v/>
      </c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63" s="4" customFormat="1" ht="15" thickBot="1" x14ac:dyDescent="0.35">
      <c r="A71" s="60"/>
      <c r="B71" s="173" t="s">
        <v>57</v>
      </c>
      <c r="C71" s="173"/>
      <c r="D71" s="173"/>
      <c r="E71" s="42"/>
      <c r="F71" s="43"/>
      <c r="G71" s="44"/>
      <c r="H71" s="45">
        <f>SUM(H69:H70)</f>
        <v>46.337373250000006</v>
      </c>
      <c r="I71" s="46"/>
      <c r="J71" s="46"/>
      <c r="K71" s="46"/>
      <c r="L71" s="47">
        <f>SUM(L69:L70)</f>
        <v>43.027371600000002</v>
      </c>
      <c r="M71" s="48"/>
      <c r="N71" s="49">
        <f>L71-H71</f>
        <v>-3.3100016500000038</v>
      </c>
      <c r="O71" s="50">
        <f>IF((H71)=0,"",(N71/H71))</f>
        <v>-7.1432656144357592E-2</v>
      </c>
      <c r="P71" s="60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</row>
    <row r="72" spans="1:63" s="4" customFormat="1" ht="15" thickBot="1" x14ac:dyDescent="0.35">
      <c r="A72" s="60"/>
      <c r="B72" s="32"/>
      <c r="C72" s="33"/>
      <c r="D72" s="34"/>
      <c r="E72" s="33"/>
      <c r="F72" s="35"/>
      <c r="G72" s="36"/>
      <c r="H72" s="122"/>
      <c r="I72" s="123"/>
      <c r="J72" s="35"/>
      <c r="K72" s="39"/>
      <c r="L72" s="37"/>
      <c r="M72" s="123"/>
      <c r="N72" s="40"/>
      <c r="O72" s="41"/>
      <c r="P72" s="60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</row>
    <row r="73" spans="1:63" x14ac:dyDescent="0.3">
      <c r="L73" s="88"/>
    </row>
    <row r="74" spans="1:63" x14ac:dyDescent="0.3">
      <c r="B74" s="65" t="s">
        <v>58</v>
      </c>
      <c r="F74" s="51">
        <v>3.7699999999999997E-2</v>
      </c>
      <c r="J74" s="51">
        <f>+Residential!$J$74</f>
        <v>3.7600000000000001E-2</v>
      </c>
    </row>
    <row r="76" spans="1:63" x14ac:dyDescent="0.3">
      <c r="L76" s="56"/>
      <c r="M76" s="56"/>
      <c r="N76" s="56"/>
      <c r="O76" s="56"/>
      <c r="P76" s="56"/>
    </row>
    <row r="77" spans="1:63" ht="16.2" x14ac:dyDescent="0.3">
      <c r="A77" s="121" t="s">
        <v>59</v>
      </c>
    </row>
    <row r="79" spans="1:63" x14ac:dyDescent="0.3">
      <c r="A79" s="60" t="s">
        <v>60</v>
      </c>
    </row>
    <row r="80" spans="1:63" x14ac:dyDescent="0.3">
      <c r="A80" s="60" t="s">
        <v>61</v>
      </c>
    </row>
    <row r="82" spans="2:29" x14ac:dyDescent="0.3">
      <c r="B82" s="60" t="s">
        <v>62</v>
      </c>
    </row>
    <row r="85" spans="2:29" ht="18.75" customHeight="1" x14ac:dyDescent="0.3">
      <c r="B85" s="175" t="s">
        <v>6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56"/>
    </row>
    <row r="86" spans="2:29" ht="18.75" customHeight="1" x14ac:dyDescent="0.3">
      <c r="B86" s="175" t="s">
        <v>7</v>
      </c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56"/>
    </row>
    <row r="87" spans="2:29" ht="7.5" customHeight="1" x14ac:dyDescent="0.3">
      <c r="L87" s="56"/>
      <c r="M87" s="56"/>
      <c r="N87" s="56"/>
      <c r="O87" s="56"/>
      <c r="P87" s="56"/>
    </row>
    <row r="88" spans="2:29" ht="7.5" customHeight="1" x14ac:dyDescent="0.3">
      <c r="L88" s="56"/>
      <c r="M88" s="56"/>
      <c r="N88" s="56"/>
      <c r="O88" s="56"/>
      <c r="P88" s="56"/>
    </row>
    <row r="89" spans="2:29" ht="15.6" x14ac:dyDescent="0.3">
      <c r="B89" s="61" t="s">
        <v>8</v>
      </c>
      <c r="D89" s="185" t="s">
        <v>75</v>
      </c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</row>
    <row r="90" spans="2:29" ht="7.5" customHeight="1" x14ac:dyDescent="0.3">
      <c r="B90" s="62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</row>
    <row r="91" spans="2:29" ht="15.6" x14ac:dyDescent="0.3">
      <c r="B91" s="61" t="s">
        <v>9</v>
      </c>
      <c r="D91" s="5" t="s">
        <v>63</v>
      </c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</row>
    <row r="92" spans="2:29" ht="15.6" x14ac:dyDescent="0.3">
      <c r="B92" s="62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</row>
    <row r="93" spans="2:29" x14ac:dyDescent="0.3">
      <c r="B93" s="64"/>
      <c r="D93" s="65" t="s">
        <v>11</v>
      </c>
      <c r="E93" s="65"/>
      <c r="F93" s="6">
        <v>550</v>
      </c>
      <c r="G93" s="65" t="s">
        <v>12</v>
      </c>
    </row>
    <row r="94" spans="2:29" x14ac:dyDescent="0.3">
      <c r="B94" s="64"/>
      <c r="F94" s="65"/>
      <c r="G94" s="65"/>
    </row>
    <row r="95" spans="2:29" x14ac:dyDescent="0.3">
      <c r="B95" s="64"/>
      <c r="D95" s="66"/>
      <c r="E95" s="66"/>
      <c r="F95" s="176" t="s">
        <v>13</v>
      </c>
      <c r="G95" s="177"/>
      <c r="H95" s="178"/>
      <c r="J95" s="176" t="s">
        <v>14</v>
      </c>
      <c r="K95" s="177"/>
      <c r="L95" s="178"/>
      <c r="N95" s="176" t="s">
        <v>15</v>
      </c>
      <c r="O95" s="178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</row>
    <row r="96" spans="2:29" x14ac:dyDescent="0.3">
      <c r="B96" s="64"/>
      <c r="D96" s="179" t="s">
        <v>16</v>
      </c>
      <c r="E96" s="67"/>
      <c r="F96" s="68" t="s">
        <v>17</v>
      </c>
      <c r="G96" s="68" t="s">
        <v>18</v>
      </c>
      <c r="H96" s="69" t="s">
        <v>19</v>
      </c>
      <c r="J96" s="68" t="s">
        <v>17</v>
      </c>
      <c r="K96" s="70" t="s">
        <v>18</v>
      </c>
      <c r="L96" s="69" t="s">
        <v>19</v>
      </c>
      <c r="N96" s="181" t="s">
        <v>20</v>
      </c>
      <c r="O96" s="183" t="s">
        <v>21</v>
      </c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</row>
    <row r="97" spans="2:29" x14ac:dyDescent="0.3">
      <c r="B97" s="64"/>
      <c r="D97" s="180"/>
      <c r="E97" s="67"/>
      <c r="F97" s="71" t="s">
        <v>22</v>
      </c>
      <c r="G97" s="71"/>
      <c r="H97" s="72" t="s">
        <v>22</v>
      </c>
      <c r="J97" s="71" t="s">
        <v>22</v>
      </c>
      <c r="K97" s="72"/>
      <c r="L97" s="72" t="s">
        <v>22</v>
      </c>
      <c r="N97" s="182"/>
      <c r="O97" s="184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</row>
    <row r="98" spans="2:29" x14ac:dyDescent="0.3">
      <c r="B98" s="73" t="s">
        <v>23</v>
      </c>
      <c r="C98" s="73"/>
      <c r="D98" s="7" t="s">
        <v>24</v>
      </c>
      <c r="E98" s="73"/>
      <c r="F98" s="129">
        <v>11.58</v>
      </c>
      <c r="G98" s="74">
        <v>1</v>
      </c>
      <c r="H98" s="75">
        <f t="shared" ref="H98:H113" si="9">G98*F98</f>
        <v>11.58</v>
      </c>
      <c r="I98" s="76"/>
      <c r="J98" s="129">
        <v>9.83</v>
      </c>
      <c r="K98" s="77">
        <v>1</v>
      </c>
      <c r="L98" s="75">
        <f t="shared" ref="L98:L113" si="10">K98*J98</f>
        <v>9.83</v>
      </c>
      <c r="M98" s="76"/>
      <c r="N98" s="78">
        <f t="shared" ref="N98:N134" si="11">L98-H98</f>
        <v>-1.75</v>
      </c>
      <c r="O98" s="79">
        <f t="shared" ref="O98:O120" si="12">IF((H98)=0,"",(N98/H98))</f>
        <v>-0.15112262521588946</v>
      </c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</row>
    <row r="99" spans="2:29" x14ac:dyDescent="0.3">
      <c r="B99" s="73" t="s">
        <v>25</v>
      </c>
      <c r="C99" s="73"/>
      <c r="D99" s="7" t="s">
        <v>24</v>
      </c>
      <c r="E99" s="73"/>
      <c r="F99" s="133"/>
      <c r="G99" s="74">
        <v>1</v>
      </c>
      <c r="H99" s="136">
        <f t="shared" si="9"/>
        <v>0</v>
      </c>
      <c r="I99" s="76"/>
      <c r="J99" s="130"/>
      <c r="K99" s="77">
        <v>1</v>
      </c>
      <c r="L99" s="136">
        <f t="shared" si="10"/>
        <v>0</v>
      </c>
      <c r="M99" s="76"/>
      <c r="N99" s="137">
        <f t="shared" si="11"/>
        <v>0</v>
      </c>
      <c r="O99" s="79" t="str">
        <f t="shared" si="12"/>
        <v/>
      </c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</row>
    <row r="100" spans="2:29" x14ac:dyDescent="0.3">
      <c r="B100" s="9"/>
      <c r="C100" s="73"/>
      <c r="D100" s="7"/>
      <c r="E100" s="73"/>
      <c r="F100" s="134"/>
      <c r="G100" s="74">
        <v>1</v>
      </c>
      <c r="H100" s="136">
        <f t="shared" si="9"/>
        <v>0</v>
      </c>
      <c r="I100" s="76"/>
      <c r="J100" s="131"/>
      <c r="K100" s="77">
        <v>1</v>
      </c>
      <c r="L100" s="136">
        <f t="shared" si="10"/>
        <v>0</v>
      </c>
      <c r="M100" s="76"/>
      <c r="N100" s="137">
        <f t="shared" si="11"/>
        <v>0</v>
      </c>
      <c r="O100" s="79" t="str">
        <f t="shared" si="12"/>
        <v/>
      </c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</row>
    <row r="101" spans="2:29" x14ac:dyDescent="0.3">
      <c r="B101" s="9"/>
      <c r="C101" s="73"/>
      <c r="D101" s="7"/>
      <c r="E101" s="73"/>
      <c r="F101" s="134"/>
      <c r="G101" s="74">
        <v>1</v>
      </c>
      <c r="H101" s="136">
        <f t="shared" si="9"/>
        <v>0</v>
      </c>
      <c r="I101" s="76"/>
      <c r="J101" s="131"/>
      <c r="K101" s="77">
        <v>1</v>
      </c>
      <c r="L101" s="136">
        <f t="shared" si="10"/>
        <v>0</v>
      </c>
      <c r="M101" s="76"/>
      <c r="N101" s="137">
        <f t="shared" si="11"/>
        <v>0</v>
      </c>
      <c r="O101" s="79" t="str">
        <f t="shared" si="12"/>
        <v/>
      </c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</row>
    <row r="102" spans="2:29" x14ac:dyDescent="0.3">
      <c r="B102" s="10"/>
      <c r="C102" s="73"/>
      <c r="D102" s="7"/>
      <c r="E102" s="73"/>
      <c r="F102" s="134"/>
      <c r="G102" s="74">
        <v>1</v>
      </c>
      <c r="H102" s="136">
        <f t="shared" si="9"/>
        <v>0</v>
      </c>
      <c r="I102" s="76"/>
      <c r="J102" s="131"/>
      <c r="K102" s="77">
        <v>1</v>
      </c>
      <c r="L102" s="136">
        <f t="shared" si="10"/>
        <v>0</v>
      </c>
      <c r="M102" s="76"/>
      <c r="N102" s="137">
        <f t="shared" si="11"/>
        <v>0</v>
      </c>
      <c r="O102" s="79" t="str">
        <f t="shared" si="12"/>
        <v/>
      </c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</row>
    <row r="103" spans="2:29" x14ac:dyDescent="0.3">
      <c r="B103" s="10"/>
      <c r="C103" s="73"/>
      <c r="D103" s="7"/>
      <c r="E103" s="73"/>
      <c r="F103" s="134"/>
      <c r="G103" s="74">
        <v>1</v>
      </c>
      <c r="H103" s="136">
        <f t="shared" si="9"/>
        <v>0</v>
      </c>
      <c r="I103" s="76"/>
      <c r="J103" s="131"/>
      <c r="K103" s="77">
        <v>1</v>
      </c>
      <c r="L103" s="136">
        <f t="shared" si="10"/>
        <v>0</v>
      </c>
      <c r="M103" s="76"/>
      <c r="N103" s="137">
        <f t="shared" si="11"/>
        <v>0</v>
      </c>
      <c r="O103" s="79" t="str">
        <f t="shared" si="12"/>
        <v/>
      </c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</row>
    <row r="104" spans="2:29" x14ac:dyDescent="0.3">
      <c r="B104" s="73" t="s">
        <v>26</v>
      </c>
      <c r="C104" s="73"/>
      <c r="D104" s="7" t="s">
        <v>27</v>
      </c>
      <c r="E104" s="73"/>
      <c r="F104" s="135">
        <v>1.0800000000000001E-2</v>
      </c>
      <c r="G104" s="74">
        <f>$F$93</f>
        <v>550</v>
      </c>
      <c r="H104" s="136">
        <f t="shared" si="9"/>
        <v>5.94</v>
      </c>
      <c r="I104" s="76"/>
      <c r="J104" s="132">
        <v>9.1999999999999998E-3</v>
      </c>
      <c r="K104" s="74">
        <f t="shared" ref="K104:K108" si="13">$F$93</f>
        <v>550</v>
      </c>
      <c r="L104" s="136">
        <f t="shared" si="10"/>
        <v>5.0599999999999996</v>
      </c>
      <c r="M104" s="76"/>
      <c r="N104" s="137">
        <f t="shared" si="11"/>
        <v>-0.88000000000000078</v>
      </c>
      <c r="O104" s="79">
        <f t="shared" si="12"/>
        <v>-0.14814814814814828</v>
      </c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</row>
    <row r="105" spans="2:29" x14ac:dyDescent="0.3">
      <c r="B105" s="73" t="s">
        <v>28</v>
      </c>
      <c r="C105" s="73"/>
      <c r="D105" s="7" t="s">
        <v>24</v>
      </c>
      <c r="E105" s="73"/>
      <c r="F105" s="135"/>
      <c r="G105" s="74">
        <v>1</v>
      </c>
      <c r="H105" s="136">
        <f t="shared" si="9"/>
        <v>0</v>
      </c>
      <c r="I105" s="76"/>
      <c r="J105" s="132"/>
      <c r="K105" s="74">
        <f t="shared" si="13"/>
        <v>550</v>
      </c>
      <c r="L105" s="136">
        <f t="shared" si="10"/>
        <v>0</v>
      </c>
      <c r="M105" s="76"/>
      <c r="N105" s="137">
        <f t="shared" si="11"/>
        <v>0</v>
      </c>
      <c r="O105" s="79" t="str">
        <f t="shared" si="12"/>
        <v/>
      </c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</row>
    <row r="106" spans="2:29" x14ac:dyDescent="0.3">
      <c r="B106" s="73" t="s">
        <v>29</v>
      </c>
      <c r="C106" s="73"/>
      <c r="D106" s="7" t="s">
        <v>27</v>
      </c>
      <c r="E106" s="73"/>
      <c r="F106" s="135">
        <v>2.9999999999999997E-4</v>
      </c>
      <c r="G106" s="74">
        <f t="shared" ref="G106:G108" si="14">$F$93</f>
        <v>550</v>
      </c>
      <c r="H106" s="136">
        <f t="shared" si="9"/>
        <v>0.16499999999999998</v>
      </c>
      <c r="I106" s="76"/>
      <c r="J106" s="132">
        <v>0</v>
      </c>
      <c r="K106" s="74">
        <f t="shared" si="13"/>
        <v>550</v>
      </c>
      <c r="L106" s="136">
        <f t="shared" si="10"/>
        <v>0</v>
      </c>
      <c r="M106" s="76"/>
      <c r="N106" s="137">
        <f t="shared" si="11"/>
        <v>-0.16499999999999998</v>
      </c>
      <c r="O106" s="79">
        <f t="shared" si="12"/>
        <v>-1</v>
      </c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</row>
    <row r="107" spans="2:29" x14ac:dyDescent="0.3">
      <c r="B107" s="11" t="s">
        <v>30</v>
      </c>
      <c r="C107" s="73"/>
      <c r="D107" s="7" t="s">
        <v>27</v>
      </c>
      <c r="E107" s="73"/>
      <c r="F107" s="135">
        <v>2E-3</v>
      </c>
      <c r="G107" s="74">
        <f t="shared" si="14"/>
        <v>550</v>
      </c>
      <c r="H107" s="136">
        <f t="shared" si="9"/>
        <v>1.1000000000000001</v>
      </c>
      <c r="I107" s="76"/>
      <c r="J107" s="132"/>
      <c r="K107" s="74">
        <f t="shared" si="13"/>
        <v>550</v>
      </c>
      <c r="L107" s="136">
        <f t="shared" si="10"/>
        <v>0</v>
      </c>
      <c r="M107" s="76"/>
      <c r="N107" s="137">
        <f t="shared" si="11"/>
        <v>-1.1000000000000001</v>
      </c>
      <c r="O107" s="79">
        <f t="shared" si="12"/>
        <v>-1</v>
      </c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</row>
    <row r="108" spans="2:29" x14ac:dyDescent="0.3">
      <c r="B108" s="11" t="s">
        <v>31</v>
      </c>
      <c r="C108" s="73"/>
      <c r="D108" s="7" t="s">
        <v>27</v>
      </c>
      <c r="E108" s="73"/>
      <c r="F108" s="135">
        <v>-4.0000000000000002E-4</v>
      </c>
      <c r="G108" s="74">
        <f t="shared" si="14"/>
        <v>550</v>
      </c>
      <c r="H108" s="136">
        <f t="shared" si="9"/>
        <v>-0.22</v>
      </c>
      <c r="I108" s="76"/>
      <c r="J108" s="132"/>
      <c r="K108" s="74">
        <f t="shared" si="13"/>
        <v>550</v>
      </c>
      <c r="L108" s="136">
        <f t="shared" si="10"/>
        <v>0</v>
      </c>
      <c r="M108" s="76"/>
      <c r="N108" s="137">
        <f t="shared" si="11"/>
        <v>0.22</v>
      </c>
      <c r="O108" s="79">
        <f t="shared" si="12"/>
        <v>-1</v>
      </c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</row>
    <row r="109" spans="2:29" x14ac:dyDescent="0.3">
      <c r="B109" s="11" t="s">
        <v>32</v>
      </c>
      <c r="C109" s="73"/>
      <c r="D109" s="7" t="s">
        <v>24</v>
      </c>
      <c r="E109" s="73"/>
      <c r="F109" s="135"/>
      <c r="G109" s="74">
        <v>1</v>
      </c>
      <c r="H109" s="136">
        <f t="shared" si="9"/>
        <v>0</v>
      </c>
      <c r="I109" s="76"/>
      <c r="J109" s="132"/>
      <c r="K109" s="74">
        <v>1</v>
      </c>
      <c r="L109" s="136">
        <f t="shared" si="10"/>
        <v>0</v>
      </c>
      <c r="M109" s="76"/>
      <c r="N109" s="137">
        <f t="shared" si="11"/>
        <v>0</v>
      </c>
      <c r="O109" s="79" t="str">
        <f t="shared" si="12"/>
        <v/>
      </c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</row>
    <row r="110" spans="2:29" x14ac:dyDescent="0.3">
      <c r="B110" s="12" t="str">
        <f>+Residential!$B$35</f>
        <v>Rate Rider for Disposition of Account 1576</v>
      </c>
      <c r="C110" s="73"/>
      <c r="D110" s="7" t="s">
        <v>27</v>
      </c>
      <c r="E110" s="73"/>
      <c r="F110" s="134"/>
      <c r="G110" s="74">
        <f t="shared" ref="G110:G113" si="15">$F$93</f>
        <v>550</v>
      </c>
      <c r="H110" s="136">
        <f t="shared" si="9"/>
        <v>0</v>
      </c>
      <c r="I110" s="76"/>
      <c r="J110" s="132">
        <v>-5.9999999999999995E-4</v>
      </c>
      <c r="K110" s="74">
        <f t="shared" ref="K110:K113" si="16">$F$93</f>
        <v>550</v>
      </c>
      <c r="L110" s="136">
        <f t="shared" si="10"/>
        <v>-0.32999999999999996</v>
      </c>
      <c r="M110" s="76"/>
      <c r="N110" s="137">
        <f t="shared" si="11"/>
        <v>-0.32999999999999996</v>
      </c>
      <c r="O110" s="79" t="str">
        <f>IF((H110)=0,"",(N110/H110))</f>
        <v/>
      </c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</row>
    <row r="111" spans="2:29" x14ac:dyDescent="0.3">
      <c r="B111" s="12" t="str">
        <f>+Residential!$B$36</f>
        <v xml:space="preserve">Rate Rider for Disposition of CGAAP CWIP differential </v>
      </c>
      <c r="C111" s="73"/>
      <c r="D111" s="7" t="s">
        <v>27</v>
      </c>
      <c r="E111" s="73"/>
      <c r="F111" s="134"/>
      <c r="G111" s="74">
        <f t="shared" si="15"/>
        <v>550</v>
      </c>
      <c r="H111" s="136">
        <f t="shared" si="9"/>
        <v>0</v>
      </c>
      <c r="I111" s="76"/>
      <c r="J111" s="132">
        <v>2.9999999999999997E-4</v>
      </c>
      <c r="K111" s="74">
        <f t="shared" si="16"/>
        <v>550</v>
      </c>
      <c r="L111" s="136">
        <f t="shared" si="10"/>
        <v>0.16499999999999998</v>
      </c>
      <c r="M111" s="76"/>
      <c r="N111" s="137">
        <f t="shared" si="11"/>
        <v>0.16499999999999998</v>
      </c>
      <c r="O111" s="79" t="str">
        <f t="shared" si="12"/>
        <v/>
      </c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</row>
    <row r="112" spans="2:29" x14ac:dyDescent="0.3">
      <c r="B112" s="12" t="str">
        <f>+Residential!$B$37</f>
        <v xml:space="preserve">Rate Rider for Disposition of Incremental Capital Expenditures </v>
      </c>
      <c r="C112" s="73"/>
      <c r="D112" s="7" t="s">
        <v>27</v>
      </c>
      <c r="E112" s="73"/>
      <c r="F112" s="131"/>
      <c r="G112" s="74">
        <f t="shared" si="15"/>
        <v>550</v>
      </c>
      <c r="H112" s="136">
        <f t="shared" si="9"/>
        <v>0</v>
      </c>
      <c r="I112" s="76"/>
      <c r="J112" s="132">
        <v>2.0000000000000001E-4</v>
      </c>
      <c r="K112" s="74">
        <f t="shared" si="16"/>
        <v>550</v>
      </c>
      <c r="L112" s="136">
        <f t="shared" si="10"/>
        <v>0.11</v>
      </c>
      <c r="M112" s="76"/>
      <c r="N112" s="137">
        <f t="shared" si="11"/>
        <v>0.11</v>
      </c>
      <c r="O112" s="79" t="str">
        <f t="shared" si="12"/>
        <v/>
      </c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</row>
    <row r="113" spans="1:63" x14ac:dyDescent="0.3">
      <c r="B113" s="12"/>
      <c r="C113" s="73"/>
      <c r="D113" s="7"/>
      <c r="E113" s="73"/>
      <c r="F113" s="131"/>
      <c r="G113" s="74">
        <f t="shared" si="15"/>
        <v>550</v>
      </c>
      <c r="H113" s="136">
        <f t="shared" si="9"/>
        <v>0</v>
      </c>
      <c r="I113" s="76"/>
      <c r="J113" s="131"/>
      <c r="K113" s="74">
        <f t="shared" si="16"/>
        <v>550</v>
      </c>
      <c r="L113" s="136">
        <f t="shared" si="10"/>
        <v>0</v>
      </c>
      <c r="M113" s="76"/>
      <c r="N113" s="137">
        <f t="shared" si="11"/>
        <v>0</v>
      </c>
      <c r="O113" s="79" t="str">
        <f t="shared" si="12"/>
        <v/>
      </c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</row>
    <row r="114" spans="1:63" s="4" customFormat="1" x14ac:dyDescent="0.3">
      <c r="A114" s="60"/>
      <c r="B114" s="19" t="s">
        <v>33</v>
      </c>
      <c r="C114" s="20"/>
      <c r="D114" s="20"/>
      <c r="E114" s="20"/>
      <c r="F114" s="21"/>
      <c r="G114" s="22"/>
      <c r="H114" s="23">
        <f>SUM(H98:H113)</f>
        <v>18.565000000000001</v>
      </c>
      <c r="I114" s="13"/>
      <c r="J114" s="14"/>
      <c r="K114" s="24"/>
      <c r="L114" s="23">
        <f>SUM(L98:L113)</f>
        <v>14.834999999999999</v>
      </c>
      <c r="M114" s="13"/>
      <c r="N114" s="15">
        <f>L114-H114</f>
        <v>-3.7300000000000022</v>
      </c>
      <c r="O114" s="16">
        <f>IF((H114)=0,"",(N114/H114))</f>
        <v>-0.20091570158901167</v>
      </c>
      <c r="P114" s="60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</row>
    <row r="115" spans="1:63" x14ac:dyDescent="0.3">
      <c r="B115" s="17" t="s">
        <v>34</v>
      </c>
      <c r="C115" s="73"/>
      <c r="D115" s="7" t="s">
        <v>27</v>
      </c>
      <c r="E115" s="73"/>
      <c r="F115" s="135">
        <v>2.9999999999999997E-4</v>
      </c>
      <c r="G115" s="74">
        <f t="shared" ref="G115:G119" si="17">$F$93</f>
        <v>550</v>
      </c>
      <c r="H115" s="136">
        <f t="shared" ref="H115:H121" si="18">G115*F115</f>
        <v>0.16499999999999998</v>
      </c>
      <c r="I115" s="76"/>
      <c r="J115" s="132">
        <v>-6.9999999999999999E-4</v>
      </c>
      <c r="K115" s="74">
        <f t="shared" ref="K115:K119" si="19">$F$93</f>
        <v>550</v>
      </c>
      <c r="L115" s="136">
        <f t="shared" ref="L115:L121" si="20">K115*J115</f>
        <v>-0.38500000000000001</v>
      </c>
      <c r="M115" s="76"/>
      <c r="N115" s="137">
        <f t="shared" si="11"/>
        <v>-0.55000000000000004</v>
      </c>
      <c r="O115" s="79">
        <f t="shared" si="12"/>
        <v>-3.3333333333333339</v>
      </c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</row>
    <row r="116" spans="1:63" x14ac:dyDescent="0.3">
      <c r="B116" s="17"/>
      <c r="C116" s="73"/>
      <c r="D116" s="7"/>
      <c r="E116" s="73"/>
      <c r="F116" s="8"/>
      <c r="G116" s="74">
        <f t="shared" si="17"/>
        <v>550</v>
      </c>
      <c r="H116" s="136">
        <f t="shared" si="18"/>
        <v>0</v>
      </c>
      <c r="I116" s="82"/>
      <c r="J116" s="8"/>
      <c r="K116" s="74">
        <f t="shared" si="19"/>
        <v>550</v>
      </c>
      <c r="L116" s="136">
        <f t="shared" si="20"/>
        <v>0</v>
      </c>
      <c r="M116" s="83"/>
      <c r="N116" s="137">
        <f t="shared" si="11"/>
        <v>0</v>
      </c>
      <c r="O116" s="79" t="str">
        <f t="shared" si="12"/>
        <v/>
      </c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</row>
    <row r="117" spans="1:63" x14ac:dyDescent="0.3">
      <c r="B117" s="17"/>
      <c r="C117" s="73"/>
      <c r="D117" s="7"/>
      <c r="E117" s="73"/>
      <c r="F117" s="8"/>
      <c r="G117" s="74">
        <f t="shared" si="17"/>
        <v>550</v>
      </c>
      <c r="H117" s="136">
        <f t="shared" si="18"/>
        <v>0</v>
      </c>
      <c r="I117" s="82"/>
      <c r="J117" s="8"/>
      <c r="K117" s="74">
        <f t="shared" si="19"/>
        <v>550</v>
      </c>
      <c r="L117" s="136">
        <f t="shared" si="20"/>
        <v>0</v>
      </c>
      <c r="M117" s="83"/>
      <c r="N117" s="137">
        <f t="shared" si="11"/>
        <v>0</v>
      </c>
      <c r="O117" s="79" t="str">
        <f t="shared" si="12"/>
        <v/>
      </c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</row>
    <row r="118" spans="1:63" x14ac:dyDescent="0.3">
      <c r="B118" s="17"/>
      <c r="C118" s="73"/>
      <c r="D118" s="7"/>
      <c r="E118" s="73"/>
      <c r="F118" s="8"/>
      <c r="G118" s="74">
        <f t="shared" si="17"/>
        <v>550</v>
      </c>
      <c r="H118" s="136">
        <f t="shared" si="18"/>
        <v>0</v>
      </c>
      <c r="I118" s="82"/>
      <c r="J118" s="8"/>
      <c r="K118" s="74">
        <f t="shared" si="19"/>
        <v>550</v>
      </c>
      <c r="L118" s="136">
        <f t="shared" si="20"/>
        <v>0</v>
      </c>
      <c r="M118" s="83"/>
      <c r="N118" s="137">
        <f t="shared" si="11"/>
        <v>0</v>
      </c>
      <c r="O118" s="79" t="str">
        <f t="shared" si="12"/>
        <v/>
      </c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</row>
    <row r="119" spans="1:63" x14ac:dyDescent="0.3">
      <c r="B119" s="80" t="s">
        <v>35</v>
      </c>
      <c r="C119" s="73"/>
      <c r="D119" s="7" t="s">
        <v>27</v>
      </c>
      <c r="E119" s="73"/>
      <c r="F119" s="135">
        <v>2.0000000000000001E-4</v>
      </c>
      <c r="G119" s="74">
        <f t="shared" si="17"/>
        <v>550</v>
      </c>
      <c r="H119" s="136">
        <f t="shared" si="18"/>
        <v>0.11</v>
      </c>
      <c r="I119" s="76"/>
      <c r="J119" s="132">
        <v>2.9999999999999997E-4</v>
      </c>
      <c r="K119" s="74">
        <f t="shared" si="19"/>
        <v>550</v>
      </c>
      <c r="L119" s="136">
        <f t="shared" si="20"/>
        <v>0.16499999999999998</v>
      </c>
      <c r="M119" s="76"/>
      <c r="N119" s="137">
        <f t="shared" si="11"/>
        <v>5.4999999999999979E-2</v>
      </c>
      <c r="O119" s="79">
        <f t="shared" si="12"/>
        <v>0.49999999999999983</v>
      </c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</row>
    <row r="120" spans="1:63" x14ac:dyDescent="0.3">
      <c r="B120" s="80" t="s">
        <v>36</v>
      </c>
      <c r="C120" s="73"/>
      <c r="D120" s="7" t="s">
        <v>27</v>
      </c>
      <c r="E120" s="73"/>
      <c r="F120" s="138">
        <f>IF(ISBLANK(D91)=TRUE, 0, IF(D91="TOU", 0.64*$F130+0.18*$F131+0.18*$F132, IF(AND(D91="non-TOU", G134&gt;0), F134,F133)))</f>
        <v>7.4999999999999997E-2</v>
      </c>
      <c r="G120" s="18">
        <f>$F$93*(1+$F$74)-$F$93</f>
        <v>20.735000000000014</v>
      </c>
      <c r="H120" s="136">
        <f t="shared" si="18"/>
        <v>1.555125000000001</v>
      </c>
      <c r="I120" s="76"/>
      <c r="J120" s="138">
        <f>+F120</f>
        <v>7.4999999999999997E-2</v>
      </c>
      <c r="K120" s="18">
        <f>$F$93*(1+$J$74)-$F$93</f>
        <v>20.680000000000064</v>
      </c>
      <c r="L120" s="136">
        <f>K120*J120</f>
        <v>1.5510000000000048</v>
      </c>
      <c r="M120" s="76"/>
      <c r="N120" s="137">
        <f t="shared" si="11"/>
        <v>-4.1249999999961595E-3</v>
      </c>
      <c r="O120" s="79">
        <f t="shared" si="12"/>
        <v>-2.652519893896733E-3</v>
      </c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</row>
    <row r="121" spans="1:63" x14ac:dyDescent="0.3">
      <c r="B121" s="80" t="s">
        <v>37</v>
      </c>
      <c r="C121" s="73"/>
      <c r="D121" s="7" t="s">
        <v>24</v>
      </c>
      <c r="E121" s="73"/>
      <c r="F121" s="138"/>
      <c r="G121" s="74">
        <v>1</v>
      </c>
      <c r="H121" s="136">
        <f t="shared" si="18"/>
        <v>0</v>
      </c>
      <c r="I121" s="76"/>
      <c r="J121" s="138"/>
      <c r="K121" s="81">
        <v>1</v>
      </c>
      <c r="L121" s="136">
        <f t="shared" si="20"/>
        <v>0</v>
      </c>
      <c r="M121" s="76"/>
      <c r="N121" s="137">
        <f t="shared" si="11"/>
        <v>0</v>
      </c>
      <c r="O121" s="79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</row>
    <row r="122" spans="1:63" s="4" customFormat="1" x14ac:dyDescent="0.3">
      <c r="A122" s="60"/>
      <c r="B122" s="19" t="s">
        <v>38</v>
      </c>
      <c r="C122" s="20"/>
      <c r="D122" s="20"/>
      <c r="E122" s="20"/>
      <c r="F122" s="21"/>
      <c r="G122" s="22"/>
      <c r="H122" s="23">
        <f>SUM(H115:H121)+H114</f>
        <v>20.395125000000004</v>
      </c>
      <c r="I122" s="13"/>
      <c r="J122" s="22"/>
      <c r="K122" s="24"/>
      <c r="L122" s="23">
        <f>SUM(L115:L121)+L114</f>
        <v>16.166000000000004</v>
      </c>
      <c r="M122" s="13"/>
      <c r="N122" s="15">
        <f t="shared" si="11"/>
        <v>-4.2291249999999998</v>
      </c>
      <c r="O122" s="16">
        <f t="shared" ref="O122:O134" si="21">IF((H122)=0,"",(N122/H122))</f>
        <v>-0.20735960186564187</v>
      </c>
      <c r="P122" s="60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</row>
    <row r="123" spans="1:63" x14ac:dyDescent="0.3">
      <c r="B123" s="76" t="s">
        <v>39</v>
      </c>
      <c r="C123" s="76"/>
      <c r="D123" s="25" t="s">
        <v>27</v>
      </c>
      <c r="E123" s="76"/>
      <c r="F123" s="135">
        <v>7.4000000000000003E-3</v>
      </c>
      <c r="G123" s="18">
        <f>F93*(1+F149)</f>
        <v>570.73500000000001</v>
      </c>
      <c r="H123" s="136">
        <f>G123*F123</f>
        <v>4.2234389999999999</v>
      </c>
      <c r="I123" s="76"/>
      <c r="J123" s="135">
        <f>+$J$48</f>
        <v>7.3000000000000001E-3</v>
      </c>
      <c r="K123" s="18">
        <f>F93*(1+J149)</f>
        <v>570.68000000000006</v>
      </c>
      <c r="L123" s="136">
        <f>K123*J123</f>
        <v>4.1659640000000007</v>
      </c>
      <c r="M123" s="76"/>
      <c r="N123" s="136">
        <f t="shared" si="11"/>
        <v>-5.7474999999999277E-2</v>
      </c>
      <c r="O123" s="79">
        <f t="shared" si="21"/>
        <v>-1.3608578222628355E-2</v>
      </c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</row>
    <row r="124" spans="1:63" x14ac:dyDescent="0.3">
      <c r="B124" s="85" t="s">
        <v>40</v>
      </c>
      <c r="C124" s="76"/>
      <c r="D124" s="25" t="s">
        <v>27</v>
      </c>
      <c r="E124" s="76"/>
      <c r="F124" s="135">
        <v>5.0000000000000001E-3</v>
      </c>
      <c r="G124" s="18">
        <f>G123</f>
        <v>570.73500000000001</v>
      </c>
      <c r="H124" s="136">
        <f>G124*F124</f>
        <v>2.853675</v>
      </c>
      <c r="I124" s="76"/>
      <c r="J124" s="135">
        <f>+$J$49</f>
        <v>4.7999999999999996E-3</v>
      </c>
      <c r="K124" s="18">
        <f>K123</f>
        <v>570.68000000000006</v>
      </c>
      <c r="L124" s="136">
        <f>K124*J124</f>
        <v>2.7392639999999999</v>
      </c>
      <c r="M124" s="76"/>
      <c r="N124" s="136">
        <f t="shared" si="11"/>
        <v>-0.11441100000000004</v>
      </c>
      <c r="O124" s="79">
        <f t="shared" si="21"/>
        <v>-4.0092512286788104E-2</v>
      </c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</row>
    <row r="125" spans="1:63" s="4" customFormat="1" x14ac:dyDescent="0.3">
      <c r="A125" s="60"/>
      <c r="B125" s="19" t="s">
        <v>41</v>
      </c>
      <c r="C125" s="20"/>
      <c r="D125" s="20"/>
      <c r="E125" s="20"/>
      <c r="F125" s="21"/>
      <c r="G125" s="22"/>
      <c r="H125" s="23">
        <f>SUM(H122:H124)</f>
        <v>27.472239000000002</v>
      </c>
      <c r="I125" s="13"/>
      <c r="J125" s="26"/>
      <c r="K125" s="22"/>
      <c r="L125" s="23">
        <f>SUM(L122:L124)</f>
        <v>23.071228000000005</v>
      </c>
      <c r="M125" s="13"/>
      <c r="N125" s="15">
        <f t="shared" si="11"/>
        <v>-4.4010109999999969</v>
      </c>
      <c r="O125" s="16">
        <f t="shared" si="21"/>
        <v>-0.16019848254814603</v>
      </c>
      <c r="P125" s="60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</row>
    <row r="126" spans="1:63" x14ac:dyDescent="0.3">
      <c r="B126" s="86" t="s">
        <v>42</v>
      </c>
      <c r="C126" s="73"/>
      <c r="D126" s="7" t="s">
        <v>27</v>
      </c>
      <c r="E126" s="73"/>
      <c r="F126" s="135">
        <v>4.4000000000000003E-3</v>
      </c>
      <c r="G126" s="18">
        <f>G124</f>
        <v>570.73500000000001</v>
      </c>
      <c r="H126" s="139">
        <f t="shared" ref="H126:H134" si="22">G126*F126</f>
        <v>2.5112340000000004</v>
      </c>
      <c r="I126" s="76"/>
      <c r="J126" s="135">
        <f>+F126</f>
        <v>4.4000000000000003E-3</v>
      </c>
      <c r="K126" s="18">
        <f>K124</f>
        <v>570.68000000000006</v>
      </c>
      <c r="L126" s="139">
        <f t="shared" ref="L126:L134" si="23">K126*J126</f>
        <v>2.5109920000000003</v>
      </c>
      <c r="M126" s="76"/>
      <c r="N126" s="137">
        <f t="shared" si="11"/>
        <v>-2.4200000000007549E-4</v>
      </c>
      <c r="O126" s="87">
        <f t="shared" si="21"/>
        <v>-9.6366965404289461E-5</v>
      </c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</row>
    <row r="127" spans="1:63" x14ac:dyDescent="0.3">
      <c r="B127" s="86" t="s">
        <v>43</v>
      </c>
      <c r="C127" s="73"/>
      <c r="D127" s="7" t="s">
        <v>27</v>
      </c>
      <c r="E127" s="73"/>
      <c r="F127" s="135">
        <v>1.1999999999999999E-3</v>
      </c>
      <c r="G127" s="18">
        <f>G124</f>
        <v>570.73500000000001</v>
      </c>
      <c r="H127" s="139">
        <f t="shared" si="22"/>
        <v>0.68488199999999999</v>
      </c>
      <c r="I127" s="76"/>
      <c r="J127" s="135">
        <v>1.2999999999999999E-3</v>
      </c>
      <c r="K127" s="18">
        <f>K124</f>
        <v>570.68000000000006</v>
      </c>
      <c r="L127" s="139">
        <f t="shared" si="23"/>
        <v>0.7418840000000001</v>
      </c>
      <c r="M127" s="76"/>
      <c r="N127" s="137">
        <f t="shared" si="11"/>
        <v>5.7002000000000108E-2</v>
      </c>
      <c r="O127" s="87">
        <f t="shared" si="21"/>
        <v>8.3228935787478878E-2</v>
      </c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</row>
    <row r="128" spans="1:63" x14ac:dyDescent="0.3">
      <c r="B128" s="73" t="s">
        <v>44</v>
      </c>
      <c r="C128" s="73"/>
      <c r="D128" s="7" t="s">
        <v>24</v>
      </c>
      <c r="E128" s="73"/>
      <c r="F128" s="135">
        <v>0.25</v>
      </c>
      <c r="G128" s="81">
        <v>1</v>
      </c>
      <c r="H128" s="139">
        <f t="shared" si="22"/>
        <v>0.25</v>
      </c>
      <c r="I128" s="76"/>
      <c r="J128" s="135">
        <f>+F128</f>
        <v>0.25</v>
      </c>
      <c r="K128" s="77">
        <v>1</v>
      </c>
      <c r="L128" s="139">
        <f t="shared" si="23"/>
        <v>0.25</v>
      </c>
      <c r="M128" s="76"/>
      <c r="N128" s="137">
        <f t="shared" si="11"/>
        <v>0</v>
      </c>
      <c r="O128" s="87">
        <f t="shared" si="21"/>
        <v>0</v>
      </c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</row>
    <row r="129" spans="1:63" x14ac:dyDescent="0.3">
      <c r="B129" s="73" t="s">
        <v>45</v>
      </c>
      <c r="C129" s="73"/>
      <c r="D129" s="7" t="s">
        <v>27</v>
      </c>
      <c r="E129" s="73"/>
      <c r="F129" s="135">
        <v>7.0000000000000001E-3</v>
      </c>
      <c r="G129" s="84">
        <f>F93</f>
        <v>550</v>
      </c>
      <c r="H129" s="139">
        <f t="shared" si="22"/>
        <v>3.85</v>
      </c>
      <c r="I129" s="76"/>
      <c r="J129" s="135">
        <f>+F129</f>
        <v>7.0000000000000001E-3</v>
      </c>
      <c r="K129" s="77">
        <f>F93</f>
        <v>550</v>
      </c>
      <c r="L129" s="139">
        <f t="shared" si="23"/>
        <v>3.85</v>
      </c>
      <c r="M129" s="76"/>
      <c r="N129" s="137">
        <f t="shared" si="11"/>
        <v>0</v>
      </c>
      <c r="O129" s="87">
        <f t="shared" si="21"/>
        <v>0</v>
      </c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</row>
    <row r="130" spans="1:63" x14ac:dyDescent="0.3">
      <c r="B130" s="80" t="s">
        <v>46</v>
      </c>
      <c r="C130" s="73"/>
      <c r="D130" s="7" t="s">
        <v>27</v>
      </c>
      <c r="E130" s="73"/>
      <c r="F130" s="138">
        <v>6.7000000000000004E-2</v>
      </c>
      <c r="G130" s="27">
        <f>0.64*$F$93</f>
        <v>352</v>
      </c>
      <c r="H130" s="139">
        <f t="shared" si="22"/>
        <v>23.584000000000003</v>
      </c>
      <c r="I130" s="76"/>
      <c r="J130" s="138">
        <v>6.7000000000000004E-2</v>
      </c>
      <c r="K130" s="28">
        <f>G130</f>
        <v>352</v>
      </c>
      <c r="L130" s="139">
        <f t="shared" si="23"/>
        <v>23.584000000000003</v>
      </c>
      <c r="M130" s="76"/>
      <c r="N130" s="137">
        <f t="shared" si="11"/>
        <v>0</v>
      </c>
      <c r="O130" s="87">
        <f t="shared" si="21"/>
        <v>0</v>
      </c>
      <c r="Q130" s="126"/>
      <c r="R130" s="126"/>
      <c r="S130" s="127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</row>
    <row r="131" spans="1:63" x14ac:dyDescent="0.3">
      <c r="B131" s="80" t="s">
        <v>47</v>
      </c>
      <c r="C131" s="73"/>
      <c r="D131" s="7" t="s">
        <v>27</v>
      </c>
      <c r="E131" s="73"/>
      <c r="F131" s="138">
        <v>0.104</v>
      </c>
      <c r="G131" s="27">
        <f>0.18*$F$93</f>
        <v>99</v>
      </c>
      <c r="H131" s="139">
        <f t="shared" si="22"/>
        <v>10.295999999999999</v>
      </c>
      <c r="I131" s="76"/>
      <c r="J131" s="138">
        <v>0.104</v>
      </c>
      <c r="K131" s="28">
        <f>G131</f>
        <v>99</v>
      </c>
      <c r="L131" s="139">
        <f t="shared" si="23"/>
        <v>10.295999999999999</v>
      </c>
      <c r="M131" s="76"/>
      <c r="N131" s="137">
        <f t="shared" si="11"/>
        <v>0</v>
      </c>
      <c r="O131" s="87">
        <f t="shared" si="21"/>
        <v>0</v>
      </c>
      <c r="Q131" s="126"/>
      <c r="R131" s="126"/>
      <c r="S131" s="127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</row>
    <row r="132" spans="1:63" x14ac:dyDescent="0.3">
      <c r="B132" s="64" t="s">
        <v>48</v>
      </c>
      <c r="C132" s="73"/>
      <c r="D132" s="7" t="s">
        <v>27</v>
      </c>
      <c r="E132" s="73"/>
      <c r="F132" s="138">
        <v>0.124</v>
      </c>
      <c r="G132" s="27">
        <f>0.18*$F$93</f>
        <v>99</v>
      </c>
      <c r="H132" s="139">
        <f t="shared" si="22"/>
        <v>12.276</v>
      </c>
      <c r="I132" s="76"/>
      <c r="J132" s="138">
        <v>0.124</v>
      </c>
      <c r="K132" s="28">
        <f>G132</f>
        <v>99</v>
      </c>
      <c r="L132" s="139">
        <f t="shared" si="23"/>
        <v>12.276</v>
      </c>
      <c r="M132" s="76"/>
      <c r="N132" s="137">
        <f t="shared" si="11"/>
        <v>0</v>
      </c>
      <c r="O132" s="87">
        <f t="shared" si="21"/>
        <v>0</v>
      </c>
      <c r="Q132" s="126"/>
      <c r="R132" s="126"/>
      <c r="S132" s="127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</row>
    <row r="133" spans="1:63" s="92" customFormat="1" x14ac:dyDescent="0.25">
      <c r="B133" s="89" t="s">
        <v>49</v>
      </c>
      <c r="C133" s="90"/>
      <c r="D133" s="29" t="s">
        <v>27</v>
      </c>
      <c r="E133" s="90"/>
      <c r="F133" s="138">
        <v>7.4999999999999997E-2</v>
      </c>
      <c r="G133" s="30">
        <f>+F93</f>
        <v>550</v>
      </c>
      <c r="H133" s="139">
        <f t="shared" si="22"/>
        <v>41.25</v>
      </c>
      <c r="I133" s="91"/>
      <c r="J133" s="138">
        <v>7.4999999999999997E-2</v>
      </c>
      <c r="K133" s="31">
        <f>G133</f>
        <v>550</v>
      </c>
      <c r="L133" s="139">
        <f t="shared" si="23"/>
        <v>41.25</v>
      </c>
      <c r="M133" s="91"/>
      <c r="N133" s="140">
        <f t="shared" si="11"/>
        <v>0</v>
      </c>
      <c r="O133" s="87">
        <f t="shared" si="21"/>
        <v>0</v>
      </c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</row>
    <row r="134" spans="1:63" s="92" customFormat="1" ht="15" thickBot="1" x14ac:dyDescent="0.3">
      <c r="B134" s="89" t="s">
        <v>50</v>
      </c>
      <c r="C134" s="90"/>
      <c r="D134" s="29" t="s">
        <v>27</v>
      </c>
      <c r="E134" s="90"/>
      <c r="F134" s="138">
        <v>8.7999999999999995E-2</v>
      </c>
      <c r="G134" s="30">
        <v>0</v>
      </c>
      <c r="H134" s="139">
        <f t="shared" si="22"/>
        <v>0</v>
      </c>
      <c r="I134" s="91"/>
      <c r="J134" s="138">
        <v>8.7999999999999995E-2</v>
      </c>
      <c r="K134" s="31">
        <f>G134</f>
        <v>0</v>
      </c>
      <c r="L134" s="139">
        <f t="shared" si="23"/>
        <v>0</v>
      </c>
      <c r="M134" s="91"/>
      <c r="N134" s="140">
        <f t="shared" si="11"/>
        <v>0</v>
      </c>
      <c r="O134" s="87" t="str">
        <f t="shared" si="21"/>
        <v/>
      </c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</row>
    <row r="135" spans="1:63" s="4" customFormat="1" ht="15" thickBot="1" x14ac:dyDescent="0.35">
      <c r="A135" s="60"/>
      <c r="B135" s="32"/>
      <c r="C135" s="33"/>
      <c r="D135" s="124"/>
      <c r="E135" s="33"/>
      <c r="F135" s="35"/>
      <c r="G135" s="36"/>
      <c r="H135" s="122"/>
      <c r="I135" s="123"/>
      <c r="J135" s="35"/>
      <c r="K135" s="39"/>
      <c r="L135" s="122"/>
      <c r="M135" s="123"/>
      <c r="N135" s="40"/>
      <c r="O135" s="41"/>
      <c r="P135" s="60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</row>
    <row r="136" spans="1:63" x14ac:dyDescent="0.3">
      <c r="B136" s="93" t="s">
        <v>51</v>
      </c>
      <c r="C136" s="73"/>
      <c r="D136" s="73"/>
      <c r="E136" s="73"/>
      <c r="F136" s="94"/>
      <c r="G136" s="95"/>
      <c r="H136" s="141">
        <f>SUM(H126:H132,H125)</f>
        <v>80.924355000000006</v>
      </c>
      <c r="I136" s="96"/>
      <c r="J136" s="97"/>
      <c r="K136" s="97"/>
      <c r="L136" s="144">
        <f>SUM(L126:L132,L125)</f>
        <v>76.580104000000006</v>
      </c>
      <c r="M136" s="145"/>
      <c r="N136" s="146">
        <f>L136-H136</f>
        <v>-4.3442509999999999</v>
      </c>
      <c r="O136" s="98">
        <f>IF((H136)=0,"",(N136/H136))</f>
        <v>-5.368286222361611E-2</v>
      </c>
      <c r="Q136" s="126"/>
      <c r="R136" s="126"/>
      <c r="S136" s="127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</row>
    <row r="137" spans="1:63" x14ac:dyDescent="0.3">
      <c r="B137" s="99" t="s">
        <v>52</v>
      </c>
      <c r="C137" s="73"/>
      <c r="D137" s="73"/>
      <c r="E137" s="73"/>
      <c r="F137" s="100">
        <v>0.13</v>
      </c>
      <c r="G137" s="101"/>
      <c r="H137" s="142">
        <f>H136*F137</f>
        <v>10.520166150000001</v>
      </c>
      <c r="I137" s="102"/>
      <c r="J137" s="103">
        <v>0.13</v>
      </c>
      <c r="K137" s="102"/>
      <c r="L137" s="147">
        <f>L136*J137</f>
        <v>9.9554135200000005</v>
      </c>
      <c r="M137" s="148"/>
      <c r="N137" s="149">
        <f>L137-H137</f>
        <v>-0.56475263000000098</v>
      </c>
      <c r="O137" s="104">
        <f>IF((H137)=0,"",(N137/H137))</f>
        <v>-5.36828622236162E-2</v>
      </c>
      <c r="Q137" s="126"/>
      <c r="R137" s="126"/>
      <c r="S137" s="127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</row>
    <row r="138" spans="1:63" x14ac:dyDescent="0.3">
      <c r="B138" s="105" t="s">
        <v>53</v>
      </c>
      <c r="C138" s="73"/>
      <c r="D138" s="73"/>
      <c r="E138" s="73"/>
      <c r="F138" s="106"/>
      <c r="G138" s="101"/>
      <c r="H138" s="142">
        <f>H136+H137</f>
        <v>91.444521150000014</v>
      </c>
      <c r="I138" s="102"/>
      <c r="J138" s="102"/>
      <c r="K138" s="102"/>
      <c r="L138" s="147">
        <f>L136+L137</f>
        <v>86.535517520000013</v>
      </c>
      <c r="M138" s="148"/>
      <c r="N138" s="149">
        <f>L138-H138</f>
        <v>-4.9090036300000008</v>
      </c>
      <c r="O138" s="104">
        <f>IF((H138)=0,"",(N138/H138))</f>
        <v>-5.3682862223616117E-2</v>
      </c>
      <c r="Q138" s="126"/>
      <c r="R138" s="126"/>
      <c r="S138" s="127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</row>
    <row r="139" spans="1:63" ht="14.4" customHeight="1" x14ac:dyDescent="0.3">
      <c r="B139" s="172" t="s">
        <v>54</v>
      </c>
      <c r="C139" s="172"/>
      <c r="D139" s="172"/>
      <c r="E139" s="73"/>
      <c r="F139" s="106"/>
      <c r="G139" s="101"/>
      <c r="H139" s="143">
        <f>+H138*-0.1</f>
        <v>-9.1444521150000018</v>
      </c>
      <c r="I139" s="102"/>
      <c r="J139" s="102"/>
      <c r="K139" s="102"/>
      <c r="L139" s="150">
        <f>+L138*-0.1</f>
        <v>-8.653551752000002</v>
      </c>
      <c r="M139" s="148"/>
      <c r="N139" s="151">
        <f>L139-H139</f>
        <v>0.49090036299999973</v>
      </c>
      <c r="O139" s="107">
        <f>IF((H139)=0,"",(N139/H139))</f>
        <v>-5.3682862223616075E-2</v>
      </c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</row>
    <row r="140" spans="1:63" s="4" customFormat="1" ht="15" thickBot="1" x14ac:dyDescent="0.35">
      <c r="A140" s="60"/>
      <c r="B140" s="173" t="s">
        <v>55</v>
      </c>
      <c r="C140" s="173"/>
      <c r="D140" s="173"/>
      <c r="E140" s="42"/>
      <c r="F140" s="43"/>
      <c r="G140" s="44"/>
      <c r="H140" s="45">
        <f>H138+H139</f>
        <v>82.300069035000007</v>
      </c>
      <c r="I140" s="46"/>
      <c r="J140" s="46"/>
      <c r="K140" s="46"/>
      <c r="L140" s="47">
        <f>L138+L139</f>
        <v>77.881965768000015</v>
      </c>
      <c r="M140" s="48"/>
      <c r="N140" s="49">
        <f>L140-H140</f>
        <v>-4.4181032669999922</v>
      </c>
      <c r="O140" s="50">
        <f>IF((H140)=0,"",(N140/H140))</f>
        <v>-5.3682862223616019E-2</v>
      </c>
      <c r="P140" s="60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</row>
    <row r="141" spans="1:63" s="4" customFormat="1" ht="15" thickBot="1" x14ac:dyDescent="0.35">
      <c r="A141" s="60"/>
      <c r="B141" s="32"/>
      <c r="C141" s="33"/>
      <c r="D141" s="34"/>
      <c r="E141" s="33"/>
      <c r="F141" s="35"/>
      <c r="G141" s="36"/>
      <c r="H141" s="37"/>
      <c r="I141" s="38"/>
      <c r="J141" s="35"/>
      <c r="K141" s="39"/>
      <c r="L141" s="37"/>
      <c r="M141" s="123"/>
      <c r="N141" s="40"/>
      <c r="O141" s="41"/>
      <c r="P141" s="60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</row>
    <row r="142" spans="1:63" s="92" customFormat="1" ht="13.2" x14ac:dyDescent="0.25">
      <c r="B142" s="108" t="s">
        <v>56</v>
      </c>
      <c r="C142" s="90"/>
      <c r="D142" s="90"/>
      <c r="E142" s="90"/>
      <c r="F142" s="109"/>
      <c r="G142" s="110"/>
      <c r="H142" s="152">
        <f>SUM(H133:H134,H125,H126:H129)</f>
        <v>76.018355</v>
      </c>
      <c r="I142" s="111"/>
      <c r="J142" s="112"/>
      <c r="K142" s="112"/>
      <c r="L142" s="155">
        <f>SUM(L133:L134,L125,L126:L129)</f>
        <v>71.674104</v>
      </c>
      <c r="M142" s="156"/>
      <c r="N142" s="157">
        <f>L142-H142</f>
        <v>-4.3442509999999999</v>
      </c>
      <c r="O142" s="98">
        <f>IF((H142)=0,"",(N142/H142))</f>
        <v>-5.7147395520463447E-2</v>
      </c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</row>
    <row r="143" spans="1:63" s="92" customFormat="1" ht="13.2" x14ac:dyDescent="0.25">
      <c r="B143" s="113" t="s">
        <v>52</v>
      </c>
      <c r="C143" s="90"/>
      <c r="D143" s="90"/>
      <c r="E143" s="90"/>
      <c r="F143" s="114">
        <v>0.13</v>
      </c>
      <c r="G143" s="110"/>
      <c r="H143" s="153">
        <f>H142*F143</f>
        <v>9.8823861500000003</v>
      </c>
      <c r="I143" s="115"/>
      <c r="J143" s="116">
        <v>0.13</v>
      </c>
      <c r="K143" s="117"/>
      <c r="L143" s="158">
        <f>L142*J143</f>
        <v>9.3176335200000011</v>
      </c>
      <c r="M143" s="159"/>
      <c r="N143" s="160">
        <f>L143-H143</f>
        <v>-0.5647526299999992</v>
      </c>
      <c r="O143" s="104">
        <f>IF((H143)=0,"",(N143/H143))</f>
        <v>-5.7147395520463364E-2</v>
      </c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</row>
    <row r="144" spans="1:63" s="92" customFormat="1" ht="13.2" x14ac:dyDescent="0.25">
      <c r="B144" s="118" t="s">
        <v>53</v>
      </c>
      <c r="C144" s="90"/>
      <c r="D144" s="90"/>
      <c r="E144" s="90"/>
      <c r="F144" s="119"/>
      <c r="G144" s="120"/>
      <c r="H144" s="153">
        <f>H142+H143</f>
        <v>85.900741150000002</v>
      </c>
      <c r="I144" s="115"/>
      <c r="J144" s="115"/>
      <c r="K144" s="115"/>
      <c r="L144" s="158">
        <f>L142+L143</f>
        <v>80.991737520000001</v>
      </c>
      <c r="M144" s="159"/>
      <c r="N144" s="160">
        <f>L144-H144</f>
        <v>-4.9090036300000008</v>
      </c>
      <c r="O144" s="104">
        <f>IF((H144)=0,"",(N144/H144))</f>
        <v>-5.7147395520463454E-2</v>
      </c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</row>
    <row r="145" spans="1:63" s="92" customFormat="1" ht="13.2" customHeight="1" x14ac:dyDescent="0.25">
      <c r="B145" s="174" t="s">
        <v>54</v>
      </c>
      <c r="C145" s="174"/>
      <c r="D145" s="174"/>
      <c r="E145" s="90"/>
      <c r="F145" s="119"/>
      <c r="G145" s="120"/>
      <c r="H145" s="154">
        <v>0</v>
      </c>
      <c r="I145" s="115"/>
      <c r="J145" s="115"/>
      <c r="K145" s="115"/>
      <c r="L145" s="161">
        <v>0</v>
      </c>
      <c r="M145" s="159"/>
      <c r="N145" s="162">
        <f>L145-H145</f>
        <v>0</v>
      </c>
      <c r="O145" s="107" t="str">
        <f>IF((H145)=0,"",(N145/H145))</f>
        <v/>
      </c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</row>
    <row r="146" spans="1:63" s="4" customFormat="1" ht="15" thickBot="1" x14ac:dyDescent="0.35">
      <c r="A146" s="60"/>
      <c r="B146" s="173" t="s">
        <v>57</v>
      </c>
      <c r="C146" s="173"/>
      <c r="D146" s="173"/>
      <c r="E146" s="42"/>
      <c r="F146" s="43"/>
      <c r="G146" s="44"/>
      <c r="H146" s="45">
        <f>SUM(H144:H145)</f>
        <v>85.900741150000002</v>
      </c>
      <c r="I146" s="46"/>
      <c r="J146" s="46"/>
      <c r="K146" s="46"/>
      <c r="L146" s="47">
        <f>SUM(L144:L145)</f>
        <v>80.991737520000001</v>
      </c>
      <c r="M146" s="48"/>
      <c r="N146" s="49">
        <f>L146-H146</f>
        <v>-4.9090036300000008</v>
      </c>
      <c r="O146" s="50">
        <f>IF((H146)=0,"",(N146/H146))</f>
        <v>-5.7147395520463454E-2</v>
      </c>
      <c r="P146" s="60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</row>
    <row r="147" spans="1:63" s="4" customFormat="1" ht="15" thickBot="1" x14ac:dyDescent="0.35">
      <c r="A147" s="60"/>
      <c r="B147" s="32"/>
      <c r="C147" s="33"/>
      <c r="D147" s="34"/>
      <c r="E147" s="33"/>
      <c r="F147" s="35"/>
      <c r="G147" s="36"/>
      <c r="H147" s="122"/>
      <c r="I147" s="123"/>
      <c r="J147" s="35"/>
      <c r="K147" s="39"/>
      <c r="L147" s="37"/>
      <c r="M147" s="123"/>
      <c r="N147" s="40"/>
      <c r="O147" s="41"/>
      <c r="P147" s="60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</row>
    <row r="148" spans="1:63" x14ac:dyDescent="0.3">
      <c r="L148" s="88"/>
    </row>
    <row r="149" spans="1:63" x14ac:dyDescent="0.3">
      <c r="B149" s="65" t="s">
        <v>58</v>
      </c>
      <c r="F149" s="51">
        <v>3.7699999999999997E-2</v>
      </c>
      <c r="J149" s="51">
        <f>+Residential!$J$74</f>
        <v>3.7600000000000001E-2</v>
      </c>
    </row>
    <row r="151" spans="1:63" x14ac:dyDescent="0.3">
      <c r="L151" s="56"/>
      <c r="M151" s="56"/>
      <c r="N151" s="56"/>
      <c r="O151" s="56"/>
      <c r="P151" s="56"/>
    </row>
    <row r="152" spans="1:63" ht="16.2" x14ac:dyDescent="0.3">
      <c r="A152" s="121" t="s">
        <v>59</v>
      </c>
    </row>
    <row r="154" spans="1:63" x14ac:dyDescent="0.3">
      <c r="A154" s="60" t="s">
        <v>60</v>
      </c>
    </row>
    <row r="155" spans="1:63" x14ac:dyDescent="0.3">
      <c r="A155" s="60" t="s">
        <v>61</v>
      </c>
    </row>
    <row r="157" spans="1:63" x14ac:dyDescent="0.3">
      <c r="B157" s="60" t="s">
        <v>62</v>
      </c>
    </row>
  </sheetData>
  <mergeCells count="27">
    <mergeCell ref="B145:D145"/>
    <mergeCell ref="B146:D146"/>
    <mergeCell ref="D96:D97"/>
    <mergeCell ref="N96:N97"/>
    <mergeCell ref="O96:O97"/>
    <mergeCell ref="B139:D139"/>
    <mergeCell ref="B140:D140"/>
    <mergeCell ref="B85:O85"/>
    <mergeCell ref="B86:O86"/>
    <mergeCell ref="D89:O89"/>
    <mergeCell ref="F95:H95"/>
    <mergeCell ref="J95:L95"/>
    <mergeCell ref="N95:O95"/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D16 D91">
      <formula1>"TOU, non-TOU"</formula1>
    </dataValidation>
    <dataValidation type="list" allowBlank="1" showInputMessage="1" showErrorMessage="1" sqref="E72 E66 E48:E49 E40:E46 E23:E38 E51:E60 E147 E141 E123:E124 E115:E121 E98:E113 E126:E135">
      <formula1>#REF!</formula1>
    </dataValidation>
    <dataValidation type="list" allowBlank="1" showInputMessage="1" showErrorMessage="1" prompt="Select Charge Unit - monthly, per kWh, per kW" sqref="D48:D49 D40:D46 D66 D23:D38 D72 D51:D60 D123:D124 D115:D121 D141 D98:D113 D147 D126:D135">
      <formula1>"Monthly, per kWh, per kW"</formula1>
    </dataValidation>
  </dataValidations>
  <pageMargins left="0.7" right="0.7" top="0.75" bottom="0.75" header="0.3" footer="0.3"/>
  <pageSetup scale="48" fitToHeight="0" orientation="portrait" r:id="rId1"/>
  <rowBreaks count="1" manualBreakCount="1">
    <brk id="8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28" r:id="rId4" name="Option Button 40">
              <controlPr defaultSize="0" autoFill="0" autoLine="0" autoPict="0">
                <anchor moveWithCells="1">
                  <from>
                    <xdr:col>5</xdr:col>
                    <xdr:colOff>426720</xdr:colOff>
                    <xdr:row>15</xdr:row>
                    <xdr:rowOff>15240</xdr:rowOff>
                  </from>
                  <to>
                    <xdr:col>7</xdr:col>
                    <xdr:colOff>579120</xdr:colOff>
                    <xdr:row>16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5" name="Option Button 42">
              <controlPr defaultSize="0" autoFill="0" autoLine="0" autoPict="0">
                <anchor moveWithCells="1">
                  <from>
                    <xdr:col>7</xdr:col>
                    <xdr:colOff>160020</xdr:colOff>
                    <xdr:row>15</xdr:row>
                    <xdr:rowOff>53340</xdr:rowOff>
                  </from>
                  <to>
                    <xdr:col>14</xdr:col>
                    <xdr:colOff>312420</xdr:colOff>
                    <xdr:row>16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Residential</vt:lpstr>
      <vt:lpstr>GS &lt; 50</vt:lpstr>
      <vt:lpstr>GS &gt; 50 Non Interval</vt:lpstr>
      <vt:lpstr>GS &gt; 50 Interval</vt:lpstr>
      <vt:lpstr>GS &gt; 1000</vt:lpstr>
      <vt:lpstr>Embedded</vt:lpstr>
      <vt:lpstr>Street Light</vt:lpstr>
      <vt:lpstr>Sentinel Light</vt:lpstr>
      <vt:lpstr>Unmetered</vt:lpstr>
      <vt:lpstr>Embedded!Print_Area</vt:lpstr>
      <vt:lpstr>'GS &lt; 50'!Print_Area</vt:lpstr>
      <vt:lpstr>'GS &gt; 1000'!Print_Area</vt:lpstr>
      <vt:lpstr>'GS &gt; 50 Interval'!Print_Area</vt:lpstr>
      <vt:lpstr>'GS &gt; 50 Non Interval'!Print_Area</vt:lpstr>
      <vt:lpstr>Residential!Print_Area</vt:lpstr>
      <vt:lpstr>'Sentinel Light'!Print_Area</vt:lpstr>
      <vt:lpstr>'Street Light'!Print_Area</vt:lpstr>
      <vt:lpstr>Unmetered!Print_Area</vt:lpstr>
    </vt:vector>
  </TitlesOfParts>
  <Company>Oakville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Pei</dc:creator>
  <cp:lastModifiedBy>Cathy Pei</cp:lastModifiedBy>
  <cp:lastPrinted>2014-04-02T12:49:28Z</cp:lastPrinted>
  <dcterms:created xsi:type="dcterms:W3CDTF">2013-08-10T14:14:09Z</dcterms:created>
  <dcterms:modified xsi:type="dcterms:W3CDTF">2014-04-17T17:25:50Z</dcterms:modified>
</cp:coreProperties>
</file>