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9" i="1" l="1"/>
  <c r="F9" i="1"/>
  <c r="C10" i="1"/>
  <c r="C11" i="1" s="1"/>
  <c r="C12" i="1" s="1"/>
  <c r="C13" i="1" s="1"/>
  <c r="C14" i="1" s="1"/>
  <c r="C15" i="1" s="1"/>
  <c r="C16" i="1" s="1"/>
  <c r="C17" i="1" s="1"/>
  <c r="C18" i="1" s="1"/>
  <c r="F18" i="1" s="1"/>
  <c r="K18" i="1"/>
  <c r="K17" i="1"/>
  <c r="K16" i="1"/>
  <c r="K15" i="1"/>
  <c r="K14" i="1"/>
  <c r="K13" i="1"/>
  <c r="K12" i="1"/>
  <c r="K11" i="1"/>
  <c r="K10" i="1"/>
  <c r="K9" i="1"/>
  <c r="L9" i="1" s="1"/>
  <c r="L10" i="1" s="1"/>
  <c r="L11" i="1" s="1"/>
  <c r="L12" i="1" s="1"/>
  <c r="L13" i="1" s="1"/>
  <c r="C25" i="1"/>
  <c r="D9" i="1"/>
  <c r="E9" i="1" s="1"/>
  <c r="B9" i="1"/>
  <c r="A10" i="1"/>
  <c r="A11" i="1" s="1"/>
  <c r="A12" i="1" s="1"/>
  <c r="A13" i="1" s="1"/>
  <c r="A14" i="1" s="1"/>
  <c r="A15" i="1" s="1"/>
  <c r="A16" i="1" s="1"/>
  <c r="A17" i="1" s="1"/>
  <c r="A18" i="1" s="1"/>
  <c r="A9" i="1"/>
  <c r="F15" i="1" l="1"/>
  <c r="F13" i="1"/>
  <c r="F14" i="1"/>
  <c r="F16" i="1"/>
  <c r="F17" i="1"/>
  <c r="F10" i="1"/>
  <c r="G10" i="1" s="1"/>
  <c r="F11" i="1"/>
  <c r="F12" i="1"/>
  <c r="I9" i="1"/>
  <c r="H9" i="1"/>
  <c r="D11" i="1"/>
  <c r="E11" i="1" s="1"/>
  <c r="B10" i="1"/>
  <c r="B11" i="1" s="1"/>
  <c r="B12" i="1" s="1"/>
  <c r="D10" i="1"/>
  <c r="L14" i="1"/>
  <c r="G11" i="1" l="1"/>
  <c r="G12" i="1" s="1"/>
  <c r="G13" i="1" s="1"/>
  <c r="G14" i="1" s="1"/>
  <c r="G15" i="1" s="1"/>
  <c r="G16" i="1" s="1"/>
  <c r="G17" i="1" s="1"/>
  <c r="G18" i="1" s="1"/>
  <c r="G19" i="1" s="1"/>
  <c r="J9" i="1"/>
  <c r="M9" i="1" s="1"/>
  <c r="D12" i="1"/>
  <c r="E12" i="1" s="1"/>
  <c r="E10" i="1"/>
  <c r="I10" i="1"/>
  <c r="H10" i="1"/>
  <c r="L15" i="1"/>
  <c r="N9" i="1" l="1"/>
  <c r="O9" i="1" s="1"/>
  <c r="J10" i="1"/>
  <c r="N10" i="1" s="1"/>
  <c r="D13" i="1"/>
  <c r="E13" i="1" s="1"/>
  <c r="B13" i="1"/>
  <c r="B14" i="1" s="1"/>
  <c r="H11" i="1"/>
  <c r="I11" i="1"/>
  <c r="L16" i="1"/>
  <c r="M10" i="1" l="1"/>
  <c r="D14" i="1"/>
  <c r="B15" i="1"/>
  <c r="O10" i="1"/>
  <c r="J11" i="1"/>
  <c r="H12" i="1"/>
  <c r="I12" i="1"/>
  <c r="L17" i="1"/>
  <c r="E14" i="1" l="1"/>
  <c r="B16" i="1"/>
  <c r="D15" i="1"/>
  <c r="E15" i="1" s="1"/>
  <c r="I13" i="1"/>
  <c r="H13" i="1"/>
  <c r="J12" i="1"/>
  <c r="N11" i="1"/>
  <c r="M11" i="1"/>
  <c r="L18" i="1"/>
  <c r="D16" i="1" l="1"/>
  <c r="O11" i="1"/>
  <c r="N12" i="1"/>
  <c r="O12" i="1" s="1"/>
  <c r="M12" i="1"/>
  <c r="J13" i="1"/>
  <c r="H14" i="1"/>
  <c r="I14" i="1"/>
  <c r="E16" i="1" l="1"/>
  <c r="C19" i="1"/>
  <c r="D17" i="1"/>
  <c r="E17" i="1" s="1"/>
  <c r="B17" i="1"/>
  <c r="J14" i="1"/>
  <c r="I15" i="1"/>
  <c r="H15" i="1"/>
  <c r="N13" i="1"/>
  <c r="O13" i="1" s="1"/>
  <c r="M13" i="1"/>
  <c r="D18" i="1" l="1"/>
  <c r="E18" i="1" s="1"/>
  <c r="E19" i="1" s="1"/>
  <c r="B18" i="1"/>
  <c r="I16" i="1"/>
  <c r="H16" i="1"/>
  <c r="N14" i="1"/>
  <c r="O14" i="1" s="1"/>
  <c r="M14" i="1"/>
  <c r="J15" i="1"/>
  <c r="D19" i="1" l="1"/>
  <c r="J16" i="1"/>
  <c r="N16" i="1" s="1"/>
  <c r="I17" i="1"/>
  <c r="H17" i="1"/>
  <c r="N15" i="1"/>
  <c r="M15" i="1"/>
  <c r="M16" i="1" l="1"/>
  <c r="O16" i="1"/>
  <c r="O15" i="1"/>
  <c r="J17" i="1"/>
  <c r="I18" i="1"/>
  <c r="H18" i="1"/>
  <c r="H19" i="1" s="1"/>
  <c r="J18" i="1" l="1"/>
  <c r="I19" i="1"/>
  <c r="N17" i="1"/>
  <c r="M17" i="1"/>
  <c r="N18" i="1" l="1"/>
  <c r="O18" i="1" s="1"/>
  <c r="M18" i="1"/>
  <c r="J19" i="1"/>
  <c r="O17" i="1"/>
  <c r="O19" i="1" l="1"/>
</calcChain>
</file>

<file path=xl/sharedStrings.xml><?xml version="1.0" encoding="utf-8"?>
<sst xmlns="http://schemas.openxmlformats.org/spreadsheetml/2006/main" count="24" uniqueCount="23">
  <si>
    <t>Refund of Accumulated SRC Fund</t>
  </si>
  <si>
    <t>Date</t>
  </si>
  <si>
    <t>Principal</t>
  </si>
  <si>
    <t>Tax Saving</t>
  </si>
  <si>
    <t>Cost of Capital</t>
  </si>
  <si>
    <t>Gross-up for Taxes</t>
  </si>
  <si>
    <t>Assumed Growth Rate</t>
  </si>
  <si>
    <t>Tax Rate</t>
  </si>
  <si>
    <t>ROE Gross-up</t>
  </si>
  <si>
    <t>ROE</t>
  </si>
  <si>
    <t>Assumed Growth</t>
  </si>
  <si>
    <t>Original Revenue</t>
  </si>
  <si>
    <t>Totals</t>
  </si>
  <si>
    <t>Accum. Rate Base Increase</t>
  </si>
  <si>
    <t xml:space="preserve">Net Revenue </t>
  </si>
  <si>
    <t>Rate Revenue</t>
  </si>
  <si>
    <t>Decline Factor</t>
  </si>
  <si>
    <t>Net Impact on Rates</t>
  </si>
  <si>
    <t>Net Rate Rider</t>
  </si>
  <si>
    <t>Grossed-Up Tax Saving</t>
  </si>
  <si>
    <t>Rate Base Increase (1/2 year rule)</t>
  </si>
  <si>
    <t>Rates Relative to 2013</t>
  </si>
  <si>
    <t>End of Year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</si>
</sst>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10" fontId="0" fillId="0" borderId="0" xfId="0" applyNumberFormat="1"/>
    <xf numFmtId="3" fontId="0" fillId="0" borderId="0" xfId="0" applyNumberForma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P34"/>
  <sheetViews>
    <sheetView tabSelected="1" workbookViewId="0">
      <selection activeCell="B8" sqref="B8"/>
    </sheetView>
  </sheetViews>
  <sheetFormatPr defaultRowHeight="14.4" x14ac:dyDescent="0.3"/>
  <cols>
    <col min="1" max="1" width="8" customWidth="1"/>
    <col min="2" max="2" width="12.77734375" customWidth="1"/>
    <col min="3" max="3" width="13.5546875" customWidth="1"/>
    <col min="4" max="10" width="12.77734375" customWidth="1"/>
    <col min="11" max="11" width="9.44140625" hidden="1" customWidth="1"/>
    <col min="12" max="12" width="12.5546875" hidden="1" customWidth="1"/>
    <col min="13" max="13" width="12.77734375" hidden="1" customWidth="1"/>
    <col min="14" max="14" width="10.77734375" hidden="1" customWidth="1"/>
    <col min="15" max="15" width="10.21875" customWidth="1"/>
    <col min="16" max="16" width="12.77734375" customWidth="1"/>
  </cols>
  <sheetData>
    <row r="5" spans="1:16" ht="21" x14ac:dyDescent="0.4">
      <c r="A5" s="4" t="s">
        <v>0</v>
      </c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</row>
    <row r="7" spans="1:16" s="8" customFormat="1" ht="41.4" x14ac:dyDescent="0.3">
      <c r="A7" s="6" t="s">
        <v>1</v>
      </c>
      <c r="B7" s="6" t="s">
        <v>22</v>
      </c>
      <c r="C7" s="6" t="s">
        <v>2</v>
      </c>
      <c r="D7" s="6" t="s">
        <v>3</v>
      </c>
      <c r="E7" s="6" t="s">
        <v>19</v>
      </c>
      <c r="F7" s="6" t="s">
        <v>20</v>
      </c>
      <c r="G7" s="6" t="s">
        <v>13</v>
      </c>
      <c r="H7" s="6" t="s">
        <v>4</v>
      </c>
      <c r="I7" s="6" t="s">
        <v>5</v>
      </c>
      <c r="J7" s="7" t="s">
        <v>18</v>
      </c>
      <c r="K7" s="7" t="s">
        <v>6</v>
      </c>
      <c r="L7" s="7" t="s">
        <v>15</v>
      </c>
      <c r="M7" s="7" t="s">
        <v>14</v>
      </c>
      <c r="N7" s="7" t="s">
        <v>21</v>
      </c>
      <c r="O7" s="7" t="s">
        <v>17</v>
      </c>
      <c r="P7" s="7"/>
    </row>
    <row r="8" spans="1:16" x14ac:dyDescent="0.3">
      <c r="A8" s="9">
        <v>2013</v>
      </c>
      <c r="B8" s="1">
        <v>903900000</v>
      </c>
      <c r="C8" s="1"/>
      <c r="D8" s="1"/>
      <c r="E8" s="1"/>
      <c r="F8" s="1"/>
      <c r="G8" s="1"/>
      <c r="H8" s="1"/>
      <c r="I8" s="1"/>
    </row>
    <row r="9" spans="1:16" x14ac:dyDescent="0.3">
      <c r="A9" s="9">
        <f>+A8+1</f>
        <v>2014</v>
      </c>
      <c r="B9" s="1">
        <f>+B8-C9</f>
        <v>788900000</v>
      </c>
      <c r="C9" s="1">
        <v>115000000</v>
      </c>
      <c r="D9" s="1">
        <f>+C9*$C$22</f>
        <v>30475000</v>
      </c>
      <c r="E9" s="1">
        <f>+D9/(1-$C$22)</f>
        <v>41462585.034013607</v>
      </c>
      <c r="F9" s="1">
        <f>+C9/2</f>
        <v>57500000</v>
      </c>
      <c r="G9" s="1">
        <f>+F9</f>
        <v>57500000</v>
      </c>
      <c r="H9" s="1">
        <f>+G9*$C$23</f>
        <v>3800750.0000000005</v>
      </c>
      <c r="I9" s="1">
        <f>+G9*$C$25</f>
        <v>666469.59183673491</v>
      </c>
      <c r="J9" s="1">
        <f>-I9-H9+E9+C9</f>
        <v>151995365.44217688</v>
      </c>
      <c r="K9" s="2">
        <f>+$C$26</f>
        <v>1.7000000000000001E-2</v>
      </c>
      <c r="L9" s="3">
        <f>+$C$27*(1+K9)</f>
        <v>1061137799.9999999</v>
      </c>
      <c r="M9" s="3">
        <f>+L9-J9</f>
        <v>909142434.55782294</v>
      </c>
      <c r="N9" s="2">
        <f>+J9/($C$27/((1-K9)^1))</f>
        <v>0.14319670713979288</v>
      </c>
      <c r="O9" s="2">
        <f>-N9</f>
        <v>-0.14319670713979288</v>
      </c>
    </row>
    <row r="10" spans="1:16" x14ac:dyDescent="0.3">
      <c r="A10" s="9">
        <f t="shared" ref="A10:A18" si="0">+A9+1</f>
        <v>2015</v>
      </c>
      <c r="B10" s="1">
        <f t="shared" ref="B10:B18" si="1">+B9-C10</f>
        <v>680208773.77600002</v>
      </c>
      <c r="C10" s="1">
        <f>+C9*$C$28</f>
        <v>108691226.22399999</v>
      </c>
      <c r="D10" s="1">
        <f t="shared" ref="D10:D18" si="2">+C10*$C$22</f>
        <v>28803174.949359998</v>
      </c>
      <c r="E10" s="1">
        <f t="shared" ref="E10:E18" si="3">+D10/(1-$C$22)</f>
        <v>39187993.128380947</v>
      </c>
      <c r="F10" s="1">
        <f t="shared" ref="F10:F18" si="4">+C10/2</f>
        <v>54345613.111999996</v>
      </c>
      <c r="G10" s="1">
        <f>+G9+F9+F10</f>
        <v>169345613.11199999</v>
      </c>
      <c r="H10" s="1">
        <f t="shared" ref="H10:H18" si="5">+G10*$C$23</f>
        <v>11193745.026703199</v>
      </c>
      <c r="I10" s="1">
        <f t="shared" ref="I10:I18" si="6">+G10*$C$25</f>
        <v>1962846.9852190653</v>
      </c>
      <c r="J10" s="1">
        <f t="shared" ref="J10:J18" si="7">-I10-H10+E10+C10</f>
        <v>134722627.34045869</v>
      </c>
      <c r="K10" s="2">
        <f t="shared" ref="K10:K18" si="8">+$C$26</f>
        <v>1.7000000000000001E-2</v>
      </c>
      <c r="L10" s="3">
        <f>+L9*(1+K10)</f>
        <v>1079177142.5999997</v>
      </c>
      <c r="M10" s="3">
        <f t="shared" ref="M10:M18" si="9">+L10-J10</f>
        <v>944454515.25954103</v>
      </c>
      <c r="N10" s="2">
        <f>+J10/($C$27/((1-K10)^2))</f>
        <v>0.12476614227543077</v>
      </c>
      <c r="O10" s="2">
        <f>+N9-N10</f>
        <v>1.8430564864362106E-2</v>
      </c>
    </row>
    <row r="11" spans="1:16" x14ac:dyDescent="0.3">
      <c r="A11" s="9">
        <f t="shared" si="0"/>
        <v>2016</v>
      </c>
      <c r="B11" s="1">
        <f t="shared" si="1"/>
        <v>577480228.92315876</v>
      </c>
      <c r="C11" s="1">
        <f t="shared" ref="C11:C18" si="10">+C10*$C$28</f>
        <v>102728544.85284126</v>
      </c>
      <c r="D11" s="1">
        <f t="shared" si="2"/>
        <v>27223064.386002935</v>
      </c>
      <c r="E11" s="1">
        <f t="shared" si="3"/>
        <v>37038182.838099234</v>
      </c>
      <c r="F11" s="1">
        <f t="shared" si="4"/>
        <v>51364272.426420629</v>
      </c>
      <c r="G11" s="1">
        <f t="shared" ref="G11:G19" si="11">+G10+F10+F11</f>
        <v>275055498.65042061</v>
      </c>
      <c r="H11" s="1">
        <f t="shared" si="5"/>
        <v>18181168.460792802</v>
      </c>
      <c r="I11" s="1">
        <f t="shared" si="6"/>
        <v>3188106.537704268</v>
      </c>
      <c r="J11" s="1">
        <f t="shared" si="7"/>
        <v>118397452.69244343</v>
      </c>
      <c r="K11" s="2">
        <f t="shared" si="8"/>
        <v>1.7000000000000001E-2</v>
      </c>
      <c r="L11" s="3">
        <f t="shared" ref="L11:L18" si="12">+L10*(1+K11)</f>
        <v>1097523154.0241995</v>
      </c>
      <c r="M11" s="3">
        <f t="shared" si="9"/>
        <v>979125701.33175611</v>
      </c>
      <c r="N11" s="2">
        <f>+J11/($C$27/((1-K11)^3))</f>
        <v>0.10778344978908193</v>
      </c>
      <c r="O11" s="2">
        <f t="shared" ref="O11:O18" si="13">+N10-N11</f>
        <v>1.6982692486348844E-2</v>
      </c>
    </row>
    <row r="12" spans="1:16" x14ac:dyDescent="0.3">
      <c r="A12" s="9">
        <f t="shared" si="0"/>
        <v>2017</v>
      </c>
      <c r="B12" s="1">
        <f t="shared" si="1"/>
        <v>480387259.28609353</v>
      </c>
      <c r="C12" s="1">
        <f t="shared" si="10"/>
        <v>97092969.637065217</v>
      </c>
      <c r="D12" s="1">
        <f t="shared" si="2"/>
        <v>25729636.953822285</v>
      </c>
      <c r="E12" s="1">
        <f t="shared" si="3"/>
        <v>35006308.780710593</v>
      </c>
      <c r="F12" s="1">
        <f t="shared" si="4"/>
        <v>48546484.818532608</v>
      </c>
      <c r="G12" s="1">
        <f t="shared" si="11"/>
        <v>374966255.89537382</v>
      </c>
      <c r="H12" s="1">
        <f t="shared" si="5"/>
        <v>24785269.514684211</v>
      </c>
      <c r="I12" s="1">
        <f t="shared" si="6"/>
        <v>4346149.6959850173</v>
      </c>
      <c r="J12" s="1">
        <f t="shared" si="7"/>
        <v>102967859.20710659</v>
      </c>
      <c r="K12" s="2">
        <f t="shared" si="8"/>
        <v>1.7000000000000001E-2</v>
      </c>
      <c r="L12" s="3">
        <f t="shared" si="12"/>
        <v>1116181047.6426108</v>
      </c>
      <c r="M12" s="3">
        <f t="shared" si="9"/>
        <v>1013213188.4355042</v>
      </c>
      <c r="N12" s="2">
        <f>+J12/($C$27/((1-K12)^4))</f>
        <v>9.2143546218610206E-2</v>
      </c>
      <c r="O12" s="2">
        <f t="shared" si="13"/>
        <v>1.5639903570471722E-2</v>
      </c>
    </row>
    <row r="13" spans="1:16" x14ac:dyDescent="0.3">
      <c r="A13" s="9">
        <f t="shared" si="0"/>
        <v>2018</v>
      </c>
      <c r="B13" s="1">
        <f t="shared" si="1"/>
        <v>388620703.39407426</v>
      </c>
      <c r="C13" s="1">
        <f t="shared" si="10"/>
        <v>91766555.892019287</v>
      </c>
      <c r="D13" s="1">
        <f t="shared" si="2"/>
        <v>24318137.311385114</v>
      </c>
      <c r="E13" s="1">
        <f t="shared" si="3"/>
        <v>33085901.103925325</v>
      </c>
      <c r="F13" s="1">
        <f t="shared" si="4"/>
        <v>45883277.946009643</v>
      </c>
      <c r="G13" s="1">
        <f t="shared" si="11"/>
        <v>469396018.65991604</v>
      </c>
      <c r="H13" s="1">
        <f t="shared" si="5"/>
        <v>31027076.833420452</v>
      </c>
      <c r="I13" s="1">
        <f t="shared" si="6"/>
        <v>5440663.8776706541</v>
      </c>
      <c r="J13" s="1">
        <f t="shared" si="7"/>
        <v>88384716.284853503</v>
      </c>
      <c r="K13" s="2">
        <f t="shared" si="8"/>
        <v>1.7000000000000001E-2</v>
      </c>
      <c r="L13" s="3">
        <f t="shared" si="12"/>
        <v>1135156125.4525352</v>
      </c>
      <c r="M13" s="3">
        <f t="shared" si="9"/>
        <v>1046771409.1676817</v>
      </c>
      <c r="N13" s="2">
        <f>+J13/($C$27/((1-K13)^5))</f>
        <v>7.7748841934060647E-2</v>
      </c>
      <c r="O13" s="2">
        <f t="shared" si="13"/>
        <v>1.4394704284549559E-2</v>
      </c>
    </row>
    <row r="14" spans="1:16" x14ac:dyDescent="0.3">
      <c r="A14" s="9">
        <f t="shared" si="0"/>
        <v>2019</v>
      </c>
      <c r="B14" s="1">
        <f t="shared" si="1"/>
        <v>301888360.03531939</v>
      </c>
      <c r="C14" s="1">
        <f t="shared" si="10"/>
        <v>86732343.358754858</v>
      </c>
      <c r="D14" s="1">
        <f t="shared" si="2"/>
        <v>22984070.990070038</v>
      </c>
      <c r="E14" s="1">
        <f t="shared" si="3"/>
        <v>31270844.884449031</v>
      </c>
      <c r="F14" s="1">
        <f t="shared" si="4"/>
        <v>43366171.679377429</v>
      </c>
      <c r="G14" s="1">
        <f t="shared" si="11"/>
        <v>558645468.28530312</v>
      </c>
      <c r="H14" s="1">
        <f t="shared" si="5"/>
        <v>36926465.453658536</v>
      </c>
      <c r="I14" s="1">
        <f t="shared" si="6"/>
        <v>6475134.2126877839</v>
      </c>
      <c r="J14" s="1">
        <f t="shared" si="7"/>
        <v>74601588.576857567</v>
      </c>
      <c r="K14" s="2">
        <f t="shared" si="8"/>
        <v>1.7000000000000001E-2</v>
      </c>
      <c r="L14" s="3">
        <f t="shared" si="12"/>
        <v>1154453779.5852282</v>
      </c>
      <c r="M14" s="3">
        <f t="shared" si="9"/>
        <v>1079852191.0083706</v>
      </c>
      <c r="N14" s="2">
        <f>+J14/($C$27/((1-K14)^6))</f>
        <v>6.4508708936796583E-2</v>
      </c>
      <c r="O14" s="2">
        <f t="shared" si="13"/>
        <v>1.3240132997264065E-2</v>
      </c>
    </row>
    <row r="15" spans="1:16" x14ac:dyDescent="0.3">
      <c r="A15" s="9">
        <f t="shared" si="0"/>
        <v>2020</v>
      </c>
      <c r="B15" s="1">
        <f t="shared" si="1"/>
        <v>219914057.83580577</v>
      </c>
      <c r="C15" s="1">
        <f t="shared" si="10"/>
        <v>81974302.199513629</v>
      </c>
      <c r="D15" s="1">
        <f t="shared" si="2"/>
        <v>21723190.082871113</v>
      </c>
      <c r="E15" s="1">
        <f t="shared" si="3"/>
        <v>29555360.656967502</v>
      </c>
      <c r="F15" s="1">
        <f t="shared" si="4"/>
        <v>40987151.099756815</v>
      </c>
      <c r="G15" s="1">
        <f t="shared" si="11"/>
        <v>642998791.06443739</v>
      </c>
      <c r="H15" s="1">
        <f t="shared" si="5"/>
        <v>42502220.089359313</v>
      </c>
      <c r="I15" s="1">
        <f t="shared" si="6"/>
        <v>7452854.6405605143</v>
      </c>
      <c r="J15" s="1">
        <f t="shared" si="7"/>
        <v>61574588.126561299</v>
      </c>
      <c r="K15" s="2">
        <f t="shared" si="8"/>
        <v>1.7000000000000001E-2</v>
      </c>
      <c r="L15" s="3">
        <f t="shared" si="12"/>
        <v>1174079493.838177</v>
      </c>
      <c r="M15" s="3">
        <f t="shared" si="9"/>
        <v>1112504905.7116156</v>
      </c>
      <c r="N15" s="2">
        <f>+J15/($C$27/((1-K15)^7))</f>
        <v>5.2338986417423489E-2</v>
      </c>
      <c r="O15" s="2">
        <f t="shared" si="13"/>
        <v>1.2169722519373094E-2</v>
      </c>
    </row>
    <row r="16" spans="1:16" x14ac:dyDescent="0.3">
      <c r="A16" s="9">
        <f t="shared" si="0"/>
        <v>2021</v>
      </c>
      <c r="B16" s="1">
        <f t="shared" si="1"/>
        <v>142436775.87996337</v>
      </c>
      <c r="C16" s="1">
        <f t="shared" si="10"/>
        <v>77477281.955842406</v>
      </c>
      <c r="D16" s="1">
        <f t="shared" si="2"/>
        <v>20531479.718298238</v>
      </c>
      <c r="E16" s="1">
        <f t="shared" si="3"/>
        <v>27933986.011290118</v>
      </c>
      <c r="F16" s="1">
        <f t="shared" si="4"/>
        <v>38738640.977921203</v>
      </c>
      <c r="G16" s="1">
        <f t="shared" si="11"/>
        <v>722724583.14211547</v>
      </c>
      <c r="H16" s="1">
        <f t="shared" si="5"/>
        <v>47772094.945693836</v>
      </c>
      <c r="I16" s="1">
        <f t="shared" si="6"/>
        <v>8376938.3989060884</v>
      </c>
      <c r="J16" s="1">
        <f t="shared" si="7"/>
        <v>49262234.622532599</v>
      </c>
      <c r="K16" s="2">
        <f t="shared" si="8"/>
        <v>1.7000000000000001E-2</v>
      </c>
      <c r="L16" s="3">
        <f t="shared" si="12"/>
        <v>1194038845.2334259</v>
      </c>
      <c r="M16" s="3">
        <f t="shared" si="9"/>
        <v>1144776610.6108932</v>
      </c>
      <c r="N16" s="2">
        <f>+J16/($C$27/((1-K16)^8))</f>
        <v>4.1161521394208846E-2</v>
      </c>
      <c r="O16" s="2">
        <f t="shared" si="13"/>
        <v>1.1177465023214643E-2</v>
      </c>
    </row>
    <row r="17" spans="1:15" x14ac:dyDescent="0.3">
      <c r="A17" s="9">
        <f t="shared" si="0"/>
        <v>2022</v>
      </c>
      <c r="B17" s="1">
        <f t="shared" si="1"/>
        <v>69209812.573153809</v>
      </c>
      <c r="C17" s="1">
        <f t="shared" si="10"/>
        <v>73226963.306809559</v>
      </c>
      <c r="D17" s="1">
        <f t="shared" si="2"/>
        <v>19405145.276304536</v>
      </c>
      <c r="E17" s="1">
        <f t="shared" si="3"/>
        <v>26401558.19905379</v>
      </c>
      <c r="F17" s="1">
        <f t="shared" si="4"/>
        <v>36613481.65340478</v>
      </c>
      <c r="G17" s="1">
        <f t="shared" si="11"/>
        <v>798076705.77344155</v>
      </c>
      <c r="H17" s="1">
        <f t="shared" si="5"/>
        <v>52752870.251624495</v>
      </c>
      <c r="I17" s="1">
        <f t="shared" si="6"/>
        <v>9250327.9365431573</v>
      </c>
      <c r="J17" s="1">
        <f t="shared" si="7"/>
        <v>37625323.317695692</v>
      </c>
      <c r="K17" s="2">
        <f t="shared" si="8"/>
        <v>1.7000000000000001E-2</v>
      </c>
      <c r="L17" s="3">
        <f t="shared" si="12"/>
        <v>1214337505.6023939</v>
      </c>
      <c r="M17" s="3">
        <f t="shared" si="9"/>
        <v>1176712182.2846982</v>
      </c>
      <c r="N17" s="2">
        <f>+J17/($C$27/((1-K17)^9))</f>
        <v>3.0903741943671865E-2</v>
      </c>
      <c r="O17" s="2">
        <f t="shared" si="13"/>
        <v>1.0257779450536981E-2</v>
      </c>
    </row>
    <row r="18" spans="1:15" x14ac:dyDescent="0.3">
      <c r="A18" s="9">
        <f t="shared" si="0"/>
        <v>2023</v>
      </c>
      <c r="B18" s="1">
        <f t="shared" si="1"/>
        <v>9.9440902471542358E-2</v>
      </c>
      <c r="C18" s="1">
        <f t="shared" si="10"/>
        <v>69209812.473712906</v>
      </c>
      <c r="D18" s="1">
        <f t="shared" si="2"/>
        <v>18340600.305533919</v>
      </c>
      <c r="E18" s="1">
        <f t="shared" si="3"/>
        <v>24953197.694603972</v>
      </c>
      <c r="F18" s="1">
        <f t="shared" si="4"/>
        <v>34604906.236856453</v>
      </c>
      <c r="G18" s="1">
        <f t="shared" si="11"/>
        <v>869295093.66370285</v>
      </c>
      <c r="H18" s="1">
        <f t="shared" si="5"/>
        <v>57460405.691170767</v>
      </c>
      <c r="I18" s="1">
        <f t="shared" si="6"/>
        <v>10075804.282777812</v>
      </c>
      <c r="J18" s="1">
        <f t="shared" si="7"/>
        <v>26626800.194368295</v>
      </c>
      <c r="K18" s="2">
        <f t="shared" si="8"/>
        <v>1.7000000000000001E-2</v>
      </c>
      <c r="L18" s="3">
        <f t="shared" si="12"/>
        <v>1234981243.1976345</v>
      </c>
      <c r="M18" s="3">
        <f t="shared" si="9"/>
        <v>1208354443.0032661</v>
      </c>
      <c r="N18" s="2">
        <f>+J18/($C$27/((1-K18)^10))</f>
        <v>2.1498260711507854E-2</v>
      </c>
      <c r="O18" s="2">
        <f t="shared" si="13"/>
        <v>9.4054812321640105E-3</v>
      </c>
    </row>
    <row r="19" spans="1:15" x14ac:dyDescent="0.3">
      <c r="A19" s="9" t="s">
        <v>12</v>
      </c>
      <c r="B19" s="1"/>
      <c r="C19" s="1">
        <f>SUM(C9:C18)</f>
        <v>903899999.90055907</v>
      </c>
      <c r="D19" s="1">
        <f t="shared" ref="D19:E19" si="14">SUM(D9:D18)</f>
        <v>239533499.97364819</v>
      </c>
      <c r="E19" s="1">
        <f t="shared" si="14"/>
        <v>325895918.33149409</v>
      </c>
      <c r="F19" s="1"/>
      <c r="G19" s="1">
        <f t="shared" si="11"/>
        <v>903899999.90055931</v>
      </c>
      <c r="H19" s="1">
        <f t="shared" ref="H19:J19" si="15">SUM(H9:H18)</f>
        <v>326402066.26710767</v>
      </c>
      <c r="I19" s="1">
        <f t="shared" si="15"/>
        <v>57235296.159891099</v>
      </c>
      <c r="J19" s="1">
        <f t="shared" si="15"/>
        <v>846158555.80505455</v>
      </c>
      <c r="L19" s="3"/>
      <c r="M19" s="3"/>
      <c r="O19" s="2">
        <f>SUM(O9:O18)</f>
        <v>-2.1498260711507854E-2</v>
      </c>
    </row>
    <row r="20" spans="1:15" x14ac:dyDescent="0.3">
      <c r="A20" s="9"/>
      <c r="B20" s="1"/>
      <c r="C20" s="1"/>
      <c r="D20" s="1"/>
      <c r="E20" s="1"/>
      <c r="F20" s="1"/>
      <c r="G20" s="1"/>
      <c r="H20" s="1"/>
      <c r="I20" s="1"/>
    </row>
    <row r="21" spans="1:15" x14ac:dyDescent="0.3">
      <c r="A21" s="9"/>
      <c r="B21" s="1"/>
      <c r="C21" s="1"/>
      <c r="D21" s="1"/>
      <c r="E21" s="1"/>
      <c r="F21" s="1"/>
      <c r="G21" s="1"/>
      <c r="H21" s="1"/>
      <c r="I21" s="1"/>
    </row>
    <row r="22" spans="1:15" x14ac:dyDescent="0.3">
      <c r="A22" s="10" t="s">
        <v>7</v>
      </c>
      <c r="C22" s="2">
        <v>0.26500000000000001</v>
      </c>
      <c r="D22" s="1"/>
      <c r="E22" s="1"/>
      <c r="F22" s="1"/>
      <c r="G22" s="1"/>
      <c r="H22" s="1"/>
      <c r="I22" s="1"/>
    </row>
    <row r="23" spans="1:15" x14ac:dyDescent="0.3">
      <c r="A23" s="10" t="s">
        <v>4</v>
      </c>
      <c r="C23" s="2">
        <v>6.6100000000000006E-2</v>
      </c>
      <c r="D23" s="1"/>
      <c r="E23" s="1"/>
      <c r="F23" s="1"/>
      <c r="G23" s="1"/>
      <c r="H23" s="1"/>
      <c r="I23" s="1"/>
    </row>
    <row r="24" spans="1:15" x14ac:dyDescent="0.3">
      <c r="A24" s="9" t="s">
        <v>9</v>
      </c>
      <c r="B24" s="1"/>
      <c r="C24" s="2">
        <v>8.9300000000000004E-2</v>
      </c>
      <c r="D24" s="1"/>
      <c r="E24" s="1"/>
      <c r="F24" s="1"/>
      <c r="G24" s="1"/>
      <c r="H24" s="1"/>
      <c r="I24" s="1"/>
    </row>
    <row r="25" spans="1:15" x14ac:dyDescent="0.3">
      <c r="A25" s="9" t="s">
        <v>8</v>
      </c>
      <c r="B25" s="1"/>
      <c r="C25" s="2">
        <f>(0.36*C24)/(1-C22)-(0.36*C24)</f>
        <v>1.1590775510204085E-2</v>
      </c>
      <c r="D25" s="1"/>
      <c r="E25" s="1"/>
      <c r="F25" s="1"/>
      <c r="G25" s="1"/>
      <c r="H25" s="1"/>
      <c r="I25" s="1"/>
    </row>
    <row r="26" spans="1:15" x14ac:dyDescent="0.3">
      <c r="A26" s="9" t="s">
        <v>10</v>
      </c>
      <c r="B26" s="1"/>
      <c r="C26" s="2">
        <v>1.7000000000000001E-2</v>
      </c>
      <c r="D26" s="1"/>
      <c r="E26" s="1"/>
      <c r="F26" s="1"/>
      <c r="G26" s="1"/>
      <c r="H26" s="1"/>
      <c r="I26" s="1"/>
    </row>
    <row r="27" spans="1:15" hidden="1" x14ac:dyDescent="0.3">
      <c r="A27" s="9" t="s">
        <v>11</v>
      </c>
      <c r="B27" s="1"/>
      <c r="C27" s="1">
        <v>1043400000</v>
      </c>
      <c r="D27" s="1"/>
      <c r="E27" s="1"/>
      <c r="F27" s="1"/>
      <c r="G27" s="1"/>
      <c r="H27" s="1"/>
      <c r="I27" s="1"/>
    </row>
    <row r="28" spans="1:15" x14ac:dyDescent="0.3">
      <c r="A28" s="9" t="s">
        <v>16</v>
      </c>
      <c r="B28" s="1"/>
      <c r="C28" s="2">
        <v>0.94514109759999998</v>
      </c>
      <c r="D28" s="1"/>
      <c r="E28" s="1"/>
      <c r="F28" s="1"/>
      <c r="G28" s="1"/>
      <c r="H28" s="1"/>
      <c r="I28" s="1"/>
    </row>
    <row r="29" spans="1:15" x14ac:dyDescent="0.3">
      <c r="B29" s="1"/>
      <c r="C29" s="1"/>
      <c r="D29" s="1"/>
      <c r="E29" s="1"/>
      <c r="F29" s="1"/>
      <c r="G29" s="1"/>
      <c r="H29" s="1"/>
      <c r="I29" s="1"/>
    </row>
    <row r="30" spans="1:15" x14ac:dyDescent="0.3">
      <c r="B30" s="1"/>
      <c r="C30" s="1"/>
      <c r="D30" s="1"/>
      <c r="E30" s="1"/>
      <c r="F30" s="1"/>
      <c r="G30" s="1"/>
      <c r="H30" s="1"/>
      <c r="I30" s="1"/>
    </row>
    <row r="31" spans="1:15" x14ac:dyDescent="0.3">
      <c r="B31" s="1"/>
      <c r="C31" s="1"/>
      <c r="D31" s="1"/>
      <c r="E31" s="1"/>
      <c r="F31" s="1"/>
      <c r="G31" s="1"/>
      <c r="H31" s="1"/>
      <c r="I31" s="1"/>
    </row>
    <row r="32" spans="1:15" x14ac:dyDescent="0.3">
      <c r="B32" s="1"/>
      <c r="C32" s="1"/>
      <c r="D32" s="1"/>
      <c r="E32" s="1"/>
      <c r="F32" s="1"/>
      <c r="G32" s="1"/>
      <c r="H32" s="1"/>
      <c r="I32" s="1"/>
    </row>
    <row r="33" spans="2:9" x14ac:dyDescent="0.3">
      <c r="B33" s="1"/>
      <c r="C33" s="1"/>
      <c r="D33" s="1"/>
      <c r="E33" s="1"/>
      <c r="F33" s="1"/>
      <c r="G33" s="1"/>
      <c r="H33" s="1"/>
      <c r="I33" s="1"/>
    </row>
    <row r="34" spans="2:9" x14ac:dyDescent="0.3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scale="92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2014-03-31T19:35:47Z</cp:lastPrinted>
  <dcterms:created xsi:type="dcterms:W3CDTF">2014-03-31T17:31:16Z</dcterms:created>
  <dcterms:modified xsi:type="dcterms:W3CDTF">2014-04-01T19:12:55Z</dcterms:modified>
</cp:coreProperties>
</file>